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da.kalaseviciene\Documents\Vaida\biudžetas\2025-2027\galutinis\"/>
    </mc:Choice>
  </mc:AlternateContent>
  <xr:revisionPtr revIDLastSave="0" documentId="13_ncr:1_{E02B961F-0702-40F1-863A-015669F036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as" sheetId="2" r:id="rId1"/>
  </sheets>
  <calcPr calcId="181029"/>
</workbook>
</file>

<file path=xl/calcChain.xml><?xml version="1.0" encoding="utf-8"?>
<calcChain xmlns="http://schemas.openxmlformats.org/spreadsheetml/2006/main">
  <c r="C836" i="2" l="1"/>
  <c r="E15" i="2" l="1"/>
  <c r="F15" i="2"/>
  <c r="G15" i="2"/>
  <c r="E23" i="2"/>
  <c r="F23" i="2"/>
  <c r="G23" i="2"/>
  <c r="E28" i="2"/>
  <c r="F28" i="2"/>
  <c r="G28" i="2"/>
  <c r="E31" i="2"/>
  <c r="F31" i="2"/>
  <c r="G31" i="2"/>
  <c r="E40" i="2"/>
  <c r="F40" i="2"/>
  <c r="G40" i="2"/>
  <c r="E44" i="2"/>
  <c r="F44" i="2"/>
  <c r="G44" i="2"/>
  <c r="E48" i="2"/>
  <c r="F48" i="2"/>
  <c r="G48" i="2"/>
  <c r="E52" i="2"/>
  <c r="F52" i="2"/>
  <c r="G52" i="2"/>
  <c r="E59" i="2"/>
  <c r="F59" i="2"/>
  <c r="G59" i="2"/>
  <c r="E70" i="2"/>
  <c r="F70" i="2"/>
  <c r="G70" i="2"/>
  <c r="E73" i="2"/>
  <c r="F73" i="2"/>
  <c r="G73" i="2"/>
  <c r="E75" i="2"/>
  <c r="F75" i="2"/>
  <c r="G75" i="2"/>
  <c r="E98" i="2"/>
  <c r="F98" i="2"/>
  <c r="G98" i="2"/>
  <c r="E102" i="2"/>
  <c r="F102" i="2"/>
  <c r="G102" i="2"/>
  <c r="E109" i="2"/>
  <c r="F109" i="2"/>
  <c r="G109" i="2"/>
  <c r="E113" i="2"/>
  <c r="F113" i="2"/>
  <c r="G113" i="2"/>
  <c r="E118" i="2"/>
  <c r="F118" i="2"/>
  <c r="G118" i="2"/>
  <c r="E121" i="2"/>
  <c r="F121" i="2"/>
  <c r="G121" i="2"/>
  <c r="E126" i="2"/>
  <c r="F126" i="2"/>
  <c r="G126" i="2"/>
  <c r="E129" i="2"/>
  <c r="F129" i="2"/>
  <c r="G129" i="2"/>
  <c r="E141" i="2"/>
  <c r="F141" i="2"/>
  <c r="G141" i="2"/>
  <c r="E152" i="2"/>
  <c r="F152" i="2"/>
  <c r="G152" i="2"/>
  <c r="E157" i="2"/>
  <c r="F157" i="2"/>
  <c r="G157" i="2"/>
  <c r="E161" i="2"/>
  <c r="F161" i="2"/>
  <c r="G161" i="2"/>
  <c r="E168" i="2"/>
  <c r="F168" i="2"/>
  <c r="G168" i="2"/>
  <c r="E172" i="2"/>
  <c r="F172" i="2"/>
  <c r="G172" i="2"/>
  <c r="E175" i="2"/>
  <c r="F175" i="2"/>
  <c r="G175" i="2"/>
  <c r="E178" i="2"/>
  <c r="F178" i="2"/>
  <c r="G178" i="2"/>
  <c r="E181" i="2"/>
  <c r="F181" i="2"/>
  <c r="G181" i="2"/>
  <c r="E184" i="2"/>
  <c r="F184" i="2"/>
  <c r="G184" i="2"/>
  <c r="E192" i="2"/>
  <c r="F192" i="2"/>
  <c r="G192" i="2"/>
  <c r="E196" i="2"/>
  <c r="F196" i="2"/>
  <c r="G196" i="2"/>
  <c r="E202" i="2"/>
  <c r="F202" i="2"/>
  <c r="G202" i="2"/>
  <c r="E205" i="2"/>
  <c r="F205" i="2"/>
  <c r="G205" i="2"/>
  <c r="E208" i="2"/>
  <c r="F208" i="2"/>
  <c r="G208" i="2"/>
  <c r="E213" i="2"/>
  <c r="F213" i="2"/>
  <c r="G213" i="2"/>
  <c r="E215" i="2"/>
  <c r="F215" i="2"/>
  <c r="G215" i="2"/>
  <c r="E219" i="2"/>
  <c r="F219" i="2"/>
  <c r="G219" i="2"/>
  <c r="E222" i="2"/>
  <c r="F222" i="2"/>
  <c r="G222" i="2"/>
  <c r="E227" i="2"/>
  <c r="E225" i="2" s="1"/>
  <c r="F227" i="2"/>
  <c r="F225" i="2" s="1"/>
  <c r="G227" i="2"/>
  <c r="G225" i="2" s="1"/>
  <c r="E233" i="2"/>
  <c r="F233" i="2"/>
  <c r="G233" i="2"/>
  <c r="E236" i="2"/>
  <c r="F236" i="2"/>
  <c r="G236" i="2"/>
  <c r="E258" i="2"/>
  <c r="F258" i="2"/>
  <c r="G258" i="2"/>
  <c r="E262" i="2"/>
  <c r="F262" i="2"/>
  <c r="G262" i="2"/>
  <c r="E267" i="2"/>
  <c r="F267" i="2"/>
  <c r="G267" i="2"/>
  <c r="E270" i="2"/>
  <c r="F270" i="2"/>
  <c r="G270" i="2"/>
  <c r="E272" i="2"/>
  <c r="F272" i="2"/>
  <c r="G272" i="2"/>
  <c r="E286" i="2"/>
  <c r="F286" i="2"/>
  <c r="G286" i="2"/>
  <c r="E290" i="2"/>
  <c r="F290" i="2"/>
  <c r="G290" i="2"/>
  <c r="E295" i="2"/>
  <c r="F295" i="2"/>
  <c r="G295" i="2"/>
  <c r="E299" i="2"/>
  <c r="F299" i="2"/>
  <c r="G299" i="2"/>
  <c r="E303" i="2"/>
  <c r="F303" i="2"/>
  <c r="G303" i="2"/>
  <c r="E306" i="2"/>
  <c r="F306" i="2"/>
  <c r="G306" i="2"/>
  <c r="E312" i="2"/>
  <c r="F312" i="2"/>
  <c r="G312" i="2"/>
  <c r="E317" i="2"/>
  <c r="F317" i="2"/>
  <c r="G317" i="2"/>
  <c r="E320" i="2"/>
  <c r="F320" i="2"/>
  <c r="G320" i="2"/>
  <c r="E334" i="2"/>
  <c r="F334" i="2"/>
  <c r="G334" i="2"/>
  <c r="E338" i="2"/>
  <c r="F338" i="2"/>
  <c r="G338" i="2"/>
  <c r="E342" i="2"/>
  <c r="F342" i="2"/>
  <c r="G342" i="2"/>
  <c r="E348" i="2"/>
  <c r="F348" i="2"/>
  <c r="G348" i="2"/>
  <c r="E352" i="2"/>
  <c r="F352" i="2"/>
  <c r="G352" i="2"/>
  <c r="E356" i="2"/>
  <c r="F356" i="2"/>
  <c r="G356" i="2"/>
  <c r="E359" i="2"/>
  <c r="F359" i="2"/>
  <c r="G359" i="2"/>
  <c r="E367" i="2"/>
  <c r="F367" i="2"/>
  <c r="G367" i="2"/>
  <c r="E370" i="2"/>
  <c r="F370" i="2"/>
  <c r="G370" i="2"/>
  <c r="E375" i="2"/>
  <c r="F375" i="2"/>
  <c r="G375" i="2"/>
  <c r="E380" i="2"/>
  <c r="F380" i="2"/>
  <c r="G380" i="2"/>
  <c r="E383" i="2"/>
  <c r="F383" i="2"/>
  <c r="G383" i="2"/>
  <c r="E393" i="2"/>
  <c r="F393" i="2"/>
  <c r="G393" i="2"/>
  <c r="E401" i="2"/>
  <c r="F401" i="2"/>
  <c r="G401" i="2"/>
  <c r="E407" i="2"/>
  <c r="F407" i="2"/>
  <c r="G407" i="2"/>
  <c r="E411" i="2"/>
  <c r="F411" i="2"/>
  <c r="G411" i="2"/>
  <c r="E420" i="2"/>
  <c r="F420" i="2"/>
  <c r="G420" i="2"/>
  <c r="E431" i="2"/>
  <c r="F431" i="2"/>
  <c r="G431" i="2"/>
  <c r="E434" i="2"/>
  <c r="F434" i="2"/>
  <c r="G434" i="2"/>
  <c r="G427" i="2" s="1"/>
  <c r="E443" i="2"/>
  <c r="F443" i="2"/>
  <c r="G443" i="2"/>
  <c r="E452" i="2"/>
  <c r="F452" i="2"/>
  <c r="G452" i="2"/>
  <c r="E456" i="2"/>
  <c r="F456" i="2"/>
  <c r="G456" i="2"/>
  <c r="E463" i="2"/>
  <c r="F463" i="2"/>
  <c r="G463" i="2"/>
  <c r="E467" i="2"/>
  <c r="F467" i="2"/>
  <c r="G467" i="2"/>
  <c r="E470" i="2"/>
  <c r="F470" i="2"/>
  <c r="G470" i="2"/>
  <c r="E482" i="2"/>
  <c r="F482" i="2"/>
  <c r="G482" i="2"/>
  <c r="E489" i="2"/>
  <c r="F489" i="2"/>
  <c r="G489" i="2"/>
  <c r="E491" i="2"/>
  <c r="F491" i="2"/>
  <c r="G491" i="2"/>
  <c r="E494" i="2"/>
  <c r="F494" i="2"/>
  <c r="G494" i="2"/>
  <c r="E497" i="2"/>
  <c r="F497" i="2"/>
  <c r="G497" i="2"/>
  <c r="E504" i="2"/>
  <c r="F504" i="2"/>
  <c r="G504" i="2"/>
  <c r="E507" i="2"/>
  <c r="E501" i="2" s="1"/>
  <c r="F507" i="2"/>
  <c r="G507" i="2"/>
  <c r="E509" i="2"/>
  <c r="F509" i="2"/>
  <c r="G509" i="2"/>
  <c r="E516" i="2"/>
  <c r="F516" i="2"/>
  <c r="G516" i="2"/>
  <c r="E520" i="2"/>
  <c r="F520" i="2"/>
  <c r="G520" i="2"/>
  <c r="E522" i="2"/>
  <c r="F522" i="2"/>
  <c r="G522" i="2"/>
  <c r="E526" i="2"/>
  <c r="F526" i="2"/>
  <c r="G526" i="2"/>
  <c r="E533" i="2"/>
  <c r="F533" i="2"/>
  <c r="G533" i="2"/>
  <c r="E539" i="2"/>
  <c r="F539" i="2"/>
  <c r="G539" i="2"/>
  <c r="E544" i="2"/>
  <c r="F544" i="2"/>
  <c r="G544" i="2"/>
  <c r="E553" i="2"/>
  <c r="F553" i="2"/>
  <c r="G553" i="2"/>
  <c r="E559" i="2"/>
  <c r="F559" i="2"/>
  <c r="G559" i="2"/>
  <c r="E561" i="2"/>
  <c r="F561" i="2"/>
  <c r="G561" i="2"/>
  <c r="E565" i="2"/>
  <c r="F565" i="2"/>
  <c r="G565" i="2"/>
  <c r="E572" i="2"/>
  <c r="F572" i="2"/>
  <c r="G572" i="2"/>
  <c r="E580" i="2"/>
  <c r="F580" i="2"/>
  <c r="G580" i="2"/>
  <c r="E582" i="2"/>
  <c r="F582" i="2"/>
  <c r="G582" i="2"/>
  <c r="E592" i="2"/>
  <c r="F592" i="2"/>
  <c r="G592" i="2"/>
  <c r="E600" i="2"/>
  <c r="F600" i="2"/>
  <c r="G600" i="2"/>
  <c r="E604" i="2"/>
  <c r="F604" i="2"/>
  <c r="G604" i="2"/>
  <c r="E611" i="2"/>
  <c r="F611" i="2"/>
  <c r="G611" i="2"/>
  <c r="E619" i="2"/>
  <c r="F619" i="2"/>
  <c r="G619" i="2"/>
  <c r="E621" i="2"/>
  <c r="F621" i="2"/>
  <c r="G621" i="2"/>
  <c r="E624" i="2"/>
  <c r="F624" i="2"/>
  <c r="G624" i="2"/>
  <c r="E626" i="2"/>
  <c r="F626" i="2"/>
  <c r="G626" i="2"/>
  <c r="E630" i="2"/>
  <c r="F630" i="2"/>
  <c r="G630" i="2"/>
  <c r="E634" i="2"/>
  <c r="F634" i="2"/>
  <c r="G634" i="2"/>
  <c r="E645" i="2"/>
  <c r="F645" i="2"/>
  <c r="G645" i="2"/>
  <c r="E652" i="2"/>
  <c r="F652" i="2"/>
  <c r="G652" i="2"/>
  <c r="E656" i="2"/>
  <c r="F656" i="2"/>
  <c r="G656" i="2"/>
  <c r="E659" i="2"/>
  <c r="F659" i="2"/>
  <c r="G659" i="2"/>
  <c r="E663" i="2"/>
  <c r="F663" i="2"/>
  <c r="G663" i="2"/>
  <c r="E666" i="2"/>
  <c r="F666" i="2"/>
  <c r="G666" i="2"/>
  <c r="E669" i="2"/>
  <c r="F669" i="2"/>
  <c r="G669" i="2"/>
  <c r="E672" i="2"/>
  <c r="F672" i="2"/>
  <c r="G672" i="2"/>
  <c r="E678" i="2"/>
  <c r="F678" i="2"/>
  <c r="G678" i="2"/>
  <c r="E682" i="2"/>
  <c r="F682" i="2"/>
  <c r="G682" i="2"/>
  <c r="E686" i="2"/>
  <c r="F686" i="2"/>
  <c r="G686" i="2"/>
  <c r="E692" i="2"/>
  <c r="F692" i="2"/>
  <c r="G692" i="2"/>
  <c r="E696" i="2"/>
  <c r="F696" i="2"/>
  <c r="G696" i="2"/>
  <c r="E700" i="2"/>
  <c r="F700" i="2"/>
  <c r="G700" i="2"/>
  <c r="E705" i="2"/>
  <c r="F705" i="2"/>
  <c r="G705" i="2"/>
  <c r="E708" i="2"/>
  <c r="F708" i="2"/>
  <c r="G708" i="2"/>
  <c r="E717" i="2"/>
  <c r="F717" i="2"/>
  <c r="G717" i="2"/>
  <c r="E719" i="2"/>
  <c r="F719" i="2"/>
  <c r="G719" i="2"/>
  <c r="E721" i="2"/>
  <c r="F721" i="2"/>
  <c r="G721" i="2"/>
  <c r="E727" i="2"/>
  <c r="F727" i="2"/>
  <c r="G727" i="2"/>
  <c r="E736" i="2"/>
  <c r="F736" i="2"/>
  <c r="G736" i="2"/>
  <c r="E739" i="2"/>
  <c r="F739" i="2"/>
  <c r="G739" i="2"/>
  <c r="E742" i="2"/>
  <c r="F742" i="2"/>
  <c r="G742" i="2"/>
  <c r="E750" i="2"/>
  <c r="F750" i="2"/>
  <c r="G750" i="2"/>
  <c r="E754" i="2"/>
  <c r="F754" i="2"/>
  <c r="G754" i="2"/>
  <c r="E766" i="2"/>
  <c r="F766" i="2"/>
  <c r="G766" i="2"/>
  <c r="E768" i="2"/>
  <c r="F768" i="2"/>
  <c r="G768" i="2"/>
  <c r="E776" i="2"/>
  <c r="F776" i="2"/>
  <c r="G776" i="2"/>
  <c r="E782" i="2"/>
  <c r="F782" i="2"/>
  <c r="G782" i="2"/>
  <c r="E788" i="2"/>
  <c r="F788" i="2"/>
  <c r="G788" i="2"/>
  <c r="E796" i="2"/>
  <c r="F796" i="2"/>
  <c r="G796" i="2"/>
  <c r="E798" i="2"/>
  <c r="F798" i="2"/>
  <c r="G798" i="2"/>
  <c r="E803" i="2"/>
  <c r="F803" i="2"/>
  <c r="G803" i="2"/>
  <c r="E807" i="2"/>
  <c r="F807" i="2"/>
  <c r="G807" i="2"/>
  <c r="E810" i="2"/>
  <c r="F810" i="2"/>
  <c r="G810" i="2"/>
  <c r="E813" i="2"/>
  <c r="F813" i="2"/>
  <c r="G813" i="2"/>
  <c r="E817" i="2"/>
  <c r="F817" i="2"/>
  <c r="G817" i="2"/>
  <c r="E820" i="2"/>
  <c r="F820" i="2"/>
  <c r="G820" i="2"/>
  <c r="E826" i="2"/>
  <c r="F826" i="2"/>
  <c r="G826" i="2"/>
  <c r="D836" i="2"/>
  <c r="E836" i="2"/>
  <c r="C848" i="2"/>
  <c r="D848" i="2"/>
  <c r="E848" i="2"/>
  <c r="F515" i="2" l="1"/>
  <c r="E108" i="2"/>
  <c r="G108" i="2"/>
  <c r="F501" i="2"/>
  <c r="F427" i="2"/>
  <c r="F108" i="2"/>
  <c r="G531" i="2"/>
  <c r="F363" i="2"/>
  <c r="F639" i="2"/>
  <c r="F569" i="2"/>
  <c r="C852" i="2"/>
  <c r="E724" i="2"/>
  <c r="E713" i="2"/>
  <c r="E569" i="2"/>
  <c r="E852" i="2"/>
  <c r="G713" i="2"/>
  <c r="F57" i="2"/>
  <c r="E773" i="2"/>
  <c r="F589" i="2"/>
  <c r="G332" i="2"/>
  <c r="F188" i="2"/>
  <c r="F187" i="2" s="1"/>
  <c r="F167" i="2"/>
  <c r="G13" i="2"/>
  <c r="G773" i="2"/>
  <c r="G724" i="2"/>
  <c r="G639" i="2"/>
  <c r="E589" i="2"/>
  <c r="G501" i="2"/>
  <c r="E363" i="2"/>
  <c r="F332" i="2"/>
  <c r="F232" i="2"/>
  <c r="E188" i="2"/>
  <c r="E187" i="2" s="1"/>
  <c r="E133" i="2"/>
  <c r="E115" i="2"/>
  <c r="E83" i="2"/>
  <c r="E57" i="2"/>
  <c r="F13" i="2"/>
  <c r="E639" i="2"/>
  <c r="G232" i="2"/>
  <c r="F773" i="2"/>
  <c r="F724" i="2"/>
  <c r="E531" i="2"/>
  <c r="E515" i="2"/>
  <c r="G398" i="2"/>
  <c r="E332" i="2"/>
  <c r="E278" i="2"/>
  <c r="E232" i="2"/>
  <c r="G133" i="2"/>
  <c r="G115" i="2"/>
  <c r="G83" i="2"/>
  <c r="E805" i="2"/>
  <c r="G515" i="2"/>
  <c r="E442" i="2"/>
  <c r="E427" i="2"/>
  <c r="F398" i="2"/>
  <c r="G278" i="2"/>
  <c r="F133" i="2"/>
  <c r="F115" i="2"/>
  <c r="F83" i="2"/>
  <c r="G39" i="2"/>
  <c r="F278" i="2"/>
  <c r="E167" i="2"/>
  <c r="F39" i="2"/>
  <c r="G805" i="2"/>
  <c r="F531" i="2"/>
  <c r="G442" i="2"/>
  <c r="E398" i="2"/>
  <c r="D852" i="2"/>
  <c r="F805" i="2"/>
  <c r="F713" i="2"/>
  <c r="G589" i="2"/>
  <c r="G569" i="2"/>
  <c r="F442" i="2"/>
  <c r="G363" i="2"/>
  <c r="G362" i="2" s="1"/>
  <c r="G188" i="2"/>
  <c r="G187" i="2" s="1"/>
  <c r="G167" i="2"/>
  <c r="G57" i="2"/>
  <c r="E39" i="2"/>
  <c r="E13" i="2"/>
  <c r="G441" i="2" l="1"/>
  <c r="F530" i="2"/>
  <c r="F132" i="2"/>
  <c r="E12" i="2"/>
  <c r="F441" i="2"/>
  <c r="F362" i="2"/>
  <c r="F12" i="2"/>
  <c r="F588" i="2"/>
  <c r="G530" i="2"/>
  <c r="E530" i="2"/>
  <c r="E441" i="2"/>
  <c r="E231" i="2"/>
  <c r="F772" i="2"/>
  <c r="G231" i="2"/>
  <c r="E132" i="2"/>
  <c r="E588" i="2"/>
  <c r="G132" i="2"/>
  <c r="G772" i="2"/>
  <c r="E772" i="2"/>
  <c r="F231" i="2"/>
  <c r="G588" i="2"/>
  <c r="E362" i="2"/>
  <c r="G12" i="2"/>
</calcChain>
</file>

<file path=xl/sharedStrings.xml><?xml version="1.0" encoding="utf-8"?>
<sst xmlns="http://schemas.openxmlformats.org/spreadsheetml/2006/main" count="2623" uniqueCount="1350">
  <si>
    <t>ŠIAULIŲ MIESTO SAVIVALDYBĖS 2025–2027 METŲ STRATEGINIO VEIKLOS PLANO TIKSLŲ, UŽDAVINIŲ, PRIEMONIŲ, PRIEMONIŲ IŠLAIDŲ IR PRODUKTO KRITERIJŲ SUVESTINĖ</t>
  </si>
  <si>
    <t>Kodas</t>
  </si>
  <si>
    <t>Pavadinimas</t>
  </si>
  <si>
    <t>Vykdytojas</t>
  </si>
  <si>
    <t>SP lėšos</t>
  </si>
  <si>
    <t>2025 metų lėšų projektas</t>
  </si>
  <si>
    <t>2026 metų lėšų projektas</t>
  </si>
  <si>
    <t>2027 metų lėšų projektas</t>
  </si>
  <si>
    <t>Poveikio /Rezultato /Produkto /Indėlio</t>
  </si>
  <si>
    <t>Rodiklis</t>
  </si>
  <si>
    <t>Mato vnt.</t>
  </si>
  <si>
    <t>Planas</t>
  </si>
  <si>
    <t>2025</t>
  </si>
  <si>
    <t>2026</t>
  </si>
  <si>
    <t>2027</t>
  </si>
  <si>
    <t>01</t>
  </si>
  <si>
    <t>Savivaldybės valdymo programa</t>
  </si>
  <si>
    <t>Bendrųjų reikalų skyrius</t>
  </si>
  <si>
    <t>01-01</t>
  </si>
  <si>
    <t>Gerinti veiklos valdymą ir efektyviai išnaudoti pažangius skaitmeninius sprendimus teikiant paslaugas</t>
  </si>
  <si>
    <t>Savivaldybės biudžetas, tenkantis vienai patvirtintai pareigybei savivaldybės administracijoje</t>
  </si>
  <si>
    <t>eur</t>
  </si>
  <si>
    <t>Vieta pagal lyčių lygybės stebėsenos savivaldybėse rodiklius</t>
  </si>
  <si>
    <t>vnt.</t>
  </si>
  <si>
    <t>01-01-01</t>
  </si>
  <si>
    <t>Taikyti gerąsias valdymo praktikas Savivaldybėje ir jos valdomosiose įmonėse ir įstaigose</t>
  </si>
  <si>
    <t>Turto valdymo skyrius; Vyriausiasis specialistas (už korupcijai atsparios aplinkos kūrimą atsakingas asmuo); Informacinių technologijų poskyris; Viešųjų pirkimų poskyris; Viešųjų investicijų skyrius</t>
  </si>
  <si>
    <t>Savivaldybės biudžetinių įstaigų, organizuojančių anoniminę darbuotojų apklausą tolerancijos korupcijai indeksui nustatyti, dalis</t>
  </si>
  <si>
    <t>proc.</t>
  </si>
  <si>
    <t>1.10.</t>
  </si>
  <si>
    <t>Savivaldybės administracijos žaliųjų pirkimų vertės dalis, nuo visų pirkimų</t>
  </si>
  <si>
    <t>1.05.</t>
  </si>
  <si>
    <t>Pirkimų dalis, kuriuose pirkimų procese nustatomi socialiniai kriterijai</t>
  </si>
  <si>
    <t>1.08.</t>
  </si>
  <si>
    <t>Savivaldybės administracijos inovatyvių pirkimų dalis, nuo visų pirkimų</t>
  </si>
  <si>
    <t>Savivaldybės administracijos pirkimų, kuomet taikoma kokybės kriterijus, vertės dalis nuo visų pirkimų</t>
  </si>
  <si>
    <t>Pavaldžių Savivaldybės biudžetinių įstaigų ir valdomų įmonių dalis, pasitvirtinusi „Dovanų politiką"</t>
  </si>
  <si>
    <t>Sudaryta turto valdymo sistemos diegimo sutartis</t>
  </si>
  <si>
    <t>Sukurtas pažangus Savivaldybės ir jos įstaigų turto valdymo sprendimas</t>
  </si>
  <si>
    <t>01-01-02</t>
  </si>
  <si>
    <t>Kurti ir palaikyti Savivaldybės ir jos įstaigų viešosios informacijos sistemas</t>
  </si>
  <si>
    <t>Asmenų aptarnavimo skyrius; Informacinių technologijų poskyris</t>
  </si>
  <si>
    <t>Atliktas „siauliai.lt” ir susijusių platformų pritaikymas skirtingas negalias turintiems asmenims</t>
  </si>
  <si>
    <t>Naujai atvertų duomenų rinkinių, teikiančių informaciją realiu laiku, skaičius</t>
  </si>
  <si>
    <t>1.01.</t>
  </si>
  <si>
    <t>Įdiegta kultūros ir sporto renginių platforma</t>
  </si>
  <si>
    <t>Gyventojų informavimo ir komunikacijos paslaugų skaičius, kurias teikiant pasitelkiami dirbtinio intelekto sprendimai</t>
  </si>
  <si>
    <t>Savivaldybės įstaigų dalis, kurių internetiniai portalai pritaikyti skirtingas negalias turintiems asmenims</t>
  </si>
  <si>
    <t>01-01-03</t>
  </si>
  <si>
    <t>Pasirengti efektyviam ekstremaliųjų situacijų valdymui Šiaulių miesto savivaldybėje</t>
  </si>
  <si>
    <t>Statybos ir renovacijos skyrius; Civilinės saugos poskyris</t>
  </si>
  <si>
    <t>Užtikrintas aprūpinimas priemonėmis, skirtomis ekstremaliųjų situacijų valdymui</t>
  </si>
  <si>
    <t>Slėptuvės, Šiaulių miesto savivaldybės ekstremaliųjų situacijų operacijų centro veiklai, įrengimo darbų dalis</t>
  </si>
  <si>
    <t>01-01-04</t>
  </si>
  <si>
    <t>Įgyvendinti lyčių lygybės, lygių galimybių ir korupcijos prevencijos principus</t>
  </si>
  <si>
    <t>Asmenų aptarnavimo skyrius; Veiklos valdymo skyrius</t>
  </si>
  <si>
    <t>Atnaujinta nuotolinio darbo savivaldybės administracijoje tvarka</t>
  </si>
  <si>
    <t>Darbuotojų, pasinaudojusių nuotolinio darbo galimybe, dalis nuo visų darbuotojų</t>
  </si>
  <si>
    <t>Pateiktų pasiūlymų, dėl lygių galimybių kriterijų/krypčių numatymo Savivaldybės vykdomose programose, skaičius</t>
  </si>
  <si>
    <t>Parengtų straipsnių lygių galimybių klausimais skaičius</t>
  </si>
  <si>
    <t>Įsteigta koordinatoriaus, lygių galimybių, lyčių lygybės ir apsaugos nuo smurto artimoje aplinkoje, pareigybė</t>
  </si>
  <si>
    <t>Suorganizuotų anoniminių apklausų savivaldybės administracijos darbuotojų psichologinio mikroklimato temomis skaičius</t>
  </si>
  <si>
    <t>Suorganizuotų anoniminių apklausų savivaldybės administracijos darbuotojų tolerancijos korupcijai indeksui nustatyti skaičius</t>
  </si>
  <si>
    <t>01-01-05</t>
  </si>
  <si>
    <t>Įgyvendinti administracinės naštos mažinimo planą ir organizuoti plano įgyvendinimo stebėseną</t>
  </si>
  <si>
    <t>Asmenų aptarnavimo skyrius</t>
  </si>
  <si>
    <t>Įgyvendintų plano priemonių skaičius</t>
  </si>
  <si>
    <t>01-02</t>
  </si>
  <si>
    <t>Skatinti įtraukų bendradarbiavimą su visuomene ir suinteresuotomis šalimis</t>
  </si>
  <si>
    <t>Gyventojų aktyvumas vietos savivaldos rinkimuose</t>
  </si>
  <si>
    <t>01-02-01</t>
  </si>
  <si>
    <t>Stiprinti bendruomeninę veiklą savivaldybėje</t>
  </si>
  <si>
    <t>Vyriausiasis specialistas (nevyriausybinių organizacijų koordinatorius); Šiaulių dailės mokykla</t>
  </si>
  <si>
    <t>Finansuotų projektų skaičius</t>
  </si>
  <si>
    <t>Finansuotų prašymų skaičius</t>
  </si>
  <si>
    <t>Įgyvendintų iniciatyvų skaičius</t>
  </si>
  <si>
    <t>Patalpų, skirtų bendruomenių, NVO susirinkimų,  veiklos vykdymo poreikiams tenkinti mikrorajonuose, skaičius</t>
  </si>
  <si>
    <t>01-02-02</t>
  </si>
  <si>
    <t>Skatinti nevyriausybinių organizacijų veiklą ir užtikrinti jų plėtrą</t>
  </si>
  <si>
    <t>Vyriausiasis specialistas (nevyriausybinių organizacijų koordinatorius)</t>
  </si>
  <si>
    <t>Suorganizuotų mokymų skaičius</t>
  </si>
  <si>
    <t>Įgyvendintų iniciatyvų skaičius, bendradarbiaujant su Savivaldybės tarybos patvirtintomis jaunimo, nevyriausybinių ir bendruomeninių organizacijų tarybomis</t>
  </si>
  <si>
    <t>01-02-03</t>
  </si>
  <si>
    <t>Dalyvauti rengiant ir įgyvendinant Šiaulių vietos veiklos grupės strategiją</t>
  </si>
  <si>
    <t>Viešųjų investicijų skyrius</t>
  </si>
  <si>
    <t>Išmokėta prisidėjimo dalis prie Šiaulių miesto vietos veiklos grupės 2022–2029 metų vietos plėtros strategijos įgyvendinimo</t>
  </si>
  <si>
    <t>01-02-04</t>
  </si>
  <si>
    <t>Vystyti dalyvaujamojo biudžeto modelį</t>
  </si>
  <si>
    <t>Miesto ūkio ir aplinkos skyrius; Jaunimo reikalų koordinatorius (patarėjas); Miesto plėtros ir paveldosaugos skyrius; Vyriausiasis specialistas (nevyriausybinių organizacijų koordinatorius)</t>
  </si>
  <si>
    <t>Įgyvendintų bendruomenės iniciatyvų skaičius</t>
  </si>
  <si>
    <t>Įgyvendintų mokinių iniciatyvų skaičius</t>
  </si>
  <si>
    <t>Balsavusiųjų dalyvaujamojo biudžeto projektų atrankose dalis nuo visų gyventojų</t>
  </si>
  <si>
    <t>01-02-05</t>
  </si>
  <si>
    <t>Įgyvendinti prevencines programas</t>
  </si>
  <si>
    <t>Civilinės saugos ir teisėtvarkos skyrius; Civilinės saugos poskyris</t>
  </si>
  <si>
    <t>Įgyvendintų  nusikaltimų ir gaisrų prevencinių priemonių skaičius</t>
  </si>
  <si>
    <t>01-02-06</t>
  </si>
  <si>
    <t>Užtikrinti sklandžią imigrantų integraciją Šiauliuose</t>
  </si>
  <si>
    <t>Socialinių paslaugų skyrius; Švietimo skyrius</t>
  </si>
  <si>
    <t>Įrengtas taktilinis infoterminalas</t>
  </si>
  <si>
    <t>Integracijos paslaugų teikimo plane numatytų priemonių įgyvendinimas</t>
  </si>
  <si>
    <t>Įstaigų (savivaldybės biudžetinių įstaigų, nevyriausybinių organizacijų ir kt), teikiančių informaciją interneto svetainėse, skaičius</t>
  </si>
  <si>
    <t>Užsienio šalių piliečių, gavusių paslaugas pagal integracijos teikimo plano priemones,  dalis nuo visų norinčiųjų</t>
  </si>
  <si>
    <t>Užsienio šalių piliečių, dalyvavusių lietuvių kalbos kursuose, skaičius ir dalis nuo visų norinčiųjų</t>
  </si>
  <si>
    <t>asm.</t>
  </si>
  <si>
    <t>01-03</t>
  </si>
  <si>
    <t>Organizuoti  Savivaldybės veiklos funkcijų įgyvendinimą</t>
  </si>
  <si>
    <t>Patvirtintų pareigybių savivaldybės administracijoje skaičius metų pabaigoje</t>
  </si>
  <si>
    <t>Vidutiniškai vieno darbuotojo dalyvavimas mokymuose (kartais)</t>
  </si>
  <si>
    <t>01-03-01</t>
  </si>
  <si>
    <t>Užtikrinti Savivaldybės administracijos finansinį, ūkinį ir materialinį aptarnavimą</t>
  </si>
  <si>
    <t>Apskaitos skyrius; Bendrųjų reikalų skyrius; Informacinių technologijų poskyris; Veiklos valdymo skyrius; Sporto skyrius</t>
  </si>
  <si>
    <t>Valstybės karjeros tarnautojų (pareigybių) skaičius</t>
  </si>
  <si>
    <t>Darbuotojų dirbančių pagal darbo sutartis (pareigybių) skaičius</t>
  </si>
  <si>
    <t>Įvykdytų planuotų administracijos remonto darbų dalis</t>
  </si>
  <si>
    <t>Įsigytos kompiuterinės technikos skaičius</t>
  </si>
  <si>
    <t>1.09.</t>
  </si>
  <si>
    <t>Įsigytos organizacinės technikos skaičius</t>
  </si>
  <si>
    <t>Įsigytų duomenų saugyklų skaičius</t>
  </si>
  <si>
    <t>Eksploatuojamų kompiuterių skaičius</t>
  </si>
  <si>
    <t>Įsigytų programinės įrangos licencijų skaičius</t>
  </si>
  <si>
    <t>Eksploatuojamų nuosavų transporto priemonių skaičius</t>
  </si>
  <si>
    <t>Kvalifikaciją užsienyje tobulinusių darbuotojų</t>
  </si>
  <si>
    <t>sk.</t>
  </si>
  <si>
    <t>01-03-02</t>
  </si>
  <si>
    <t>Didinti Savivaldybės administracijos darbuotojų kompetencijas ir suteikti naujus įgūdžius</t>
  </si>
  <si>
    <t>Veiklos valdymo skyrius</t>
  </si>
  <si>
    <t>Mokymų dalyvių skaičius</t>
  </si>
  <si>
    <t>01-03-03</t>
  </si>
  <si>
    <t>Užtikrinti Savivaldybės tarybos, Savivaldybės mero ir jo politinio (asmeninio) pasitikėjimo valstybės tarnautojų finansinį, ūkinį ir materialinį aptarnavimą</t>
  </si>
  <si>
    <t>Apskaitos skyrius</t>
  </si>
  <si>
    <t>Įvykusių skelbtų Tarybos, Komitetų, Komisijų posėdžių dalis</t>
  </si>
  <si>
    <t>Laiku paskelbtų ir įvykdytų Tarybos priimtų sprendimų dalis</t>
  </si>
  <si>
    <t>Mero ir Mero politinio (asmeninio) pasitikėjimo valstybės tarnautojų (pareigybių) skaičius</t>
  </si>
  <si>
    <t>01-03-04</t>
  </si>
  <si>
    <t>Užtikrinti Kontrolės ir audito tarnybos finansinį, ūkinį bei materialinį aptarnavimą</t>
  </si>
  <si>
    <t>Savivaldybės kontrolės ir audito tarnyba</t>
  </si>
  <si>
    <t>Atliktų auditų skaičius</t>
  </si>
  <si>
    <t>Kontrolės ir audito tarnybos darbuotojų skaičius</t>
  </si>
  <si>
    <t>01-03-05</t>
  </si>
  <si>
    <t>Užtikrinti Šiaulių apskaitos centro veiklą</t>
  </si>
  <si>
    <t>Viešųjų pirkimų poskyris; Ekonomikos skyrius</t>
  </si>
  <si>
    <t>Užtikrintas centralizuotos apskaitos ir viešųjų pirkimų vykdymas</t>
  </si>
  <si>
    <t>Savivaldybės BĮ/VŠĮ žaliųjų pirkimų vertės dalis, nuo visų pirkimų (proc.)</t>
  </si>
  <si>
    <t>2.03.</t>
  </si>
  <si>
    <t>Supaprastintų rezervuotų pirkimų vertės dalis nuo visų pirkimų (proc.)</t>
  </si>
  <si>
    <t>Pirkimų dalis, kuriuose pirkimų procese nustatomi socialiniai kriterijai (proc.)</t>
  </si>
  <si>
    <t>Savivaldybės BĮ/VŠĮ inovatyvių pirkimų dalis, nuo visų pirkimų</t>
  </si>
  <si>
    <t>Savivaldybės BĮ/VŠĮ pirkimų, kuomet taikoma kokybės kriterijus, vertės dalis nuo visų pirkimų</t>
  </si>
  <si>
    <t>01-03-06</t>
  </si>
  <si>
    <t>Užtikrinti projektų vykdymo priežiūros ir kitas inžinerines paslaugas</t>
  </si>
  <si>
    <t>Statybos ir renovacijos skyrius</t>
  </si>
  <si>
    <t>Patenkinto poreikio dėl projektų vykdymo priežiūros ir kitų inžinerinių paslaugų įgyvendinimo, dalis</t>
  </si>
  <si>
    <t>01-03-07</t>
  </si>
  <si>
    <t>Likviduoti įvykių, ekstremalių įvykių ir situacijų pasekmes (mero rezervas)</t>
  </si>
  <si>
    <t>Civilinės saugos poskyris</t>
  </si>
  <si>
    <t>Likviduotos įvykusių ekstremalių įvykių/situacijų pasekmės</t>
  </si>
  <si>
    <t>01-04</t>
  </si>
  <si>
    <t>Tinkamai įgyvendinti valstybines (perduotas savivaldybei) funkcijas</t>
  </si>
  <si>
    <t>Valstybės deleguotų funkcijų skaičius</t>
  </si>
  <si>
    <t>01-04-01</t>
  </si>
  <si>
    <t>Deklaruoti gyvenamąją vietą</t>
  </si>
  <si>
    <t>1.04.</t>
  </si>
  <si>
    <t>Užtikrintas funkcijos įgyvendinimas</t>
  </si>
  <si>
    <t>01-04-02</t>
  </si>
  <si>
    <t>Teikti duomenis Valstybės registrui</t>
  </si>
  <si>
    <t>Ekonomikos skyrius</t>
  </si>
  <si>
    <t>01-04-03</t>
  </si>
  <si>
    <t>Teikti pirminę teisinę pagalbą</t>
  </si>
  <si>
    <t>Teisės skyrius</t>
  </si>
  <si>
    <t>01-04-04</t>
  </si>
  <si>
    <t>Registruoti civilinės būklės aktus</t>
  </si>
  <si>
    <t>Civilinės metrikacijos skyrius</t>
  </si>
  <si>
    <t>01-04-05</t>
  </si>
  <si>
    <t>Tvarkyti Gyventojų registrą</t>
  </si>
  <si>
    <t>01-04-06</t>
  </si>
  <si>
    <t>Vykdyti valstybinės kalbos vartojimo kontrolę</t>
  </si>
  <si>
    <t>Kultūros skyrius</t>
  </si>
  <si>
    <t>01-04-07</t>
  </si>
  <si>
    <t>Įgyvendinti jaunimo politiką</t>
  </si>
  <si>
    <t>Jaunimo reikalų koordinatorius (patarėjas)</t>
  </si>
  <si>
    <t>01-04-08</t>
  </si>
  <si>
    <t>Tvarkyti archyvinius dokumentus</t>
  </si>
  <si>
    <t>01-04-09</t>
  </si>
  <si>
    <t>Administruoti mobilizaciją</t>
  </si>
  <si>
    <t>Civilinės saugos ir teisėtvarkos skyrius</t>
  </si>
  <si>
    <t>01-04-10</t>
  </si>
  <si>
    <t>Organizuoti civilinę saugą</t>
  </si>
  <si>
    <t>01-04-11</t>
  </si>
  <si>
    <t>Vykdyti žemės ūkio funkcijas</t>
  </si>
  <si>
    <t>Miesto ūkio ir aplinkos skyrius</t>
  </si>
  <si>
    <t>01-04-12</t>
  </si>
  <si>
    <t>Administruoti Užimtumo didinimo programą</t>
  </si>
  <si>
    <t>Socialinių paslaugų skyrius</t>
  </si>
  <si>
    <t>01-04-13</t>
  </si>
  <si>
    <t>Administruoti socialines pašalpas</t>
  </si>
  <si>
    <t>Socialinių išmokų ir kompensacijų skyrius</t>
  </si>
  <si>
    <t>01-04-14</t>
  </si>
  <si>
    <t>Administruoti socialinę paramą mokiniams</t>
  </si>
  <si>
    <t>01-04-15</t>
  </si>
  <si>
    <t>Administruoti socialinę globą</t>
  </si>
  <si>
    <t>01-04-16</t>
  </si>
  <si>
    <t>Administruoti būsto nuomos ar išperkamosios būsto nuomos mokesčių dalies kompensacijas</t>
  </si>
  <si>
    <t>Apskaitos skyrius; Turto valdymo skyrius</t>
  </si>
  <si>
    <t>01-04-17</t>
  </si>
  <si>
    <t>Užtikrinti informacijos apie neveiksnių asmenų būklę persvarstymą</t>
  </si>
  <si>
    <t>Sveikatos skyrius</t>
  </si>
  <si>
    <t>Komisijos priimtų sprendimų kreiptis į teismą skaičius</t>
  </si>
  <si>
    <t>Komisijos inicijuotų asmens būklės peržiūrėjimų skaičius</t>
  </si>
  <si>
    <t>01-04-18</t>
  </si>
  <si>
    <t>Organizuoti tarpinstitucinio bendradarbiavimo koordinatoriaus darbą</t>
  </si>
  <si>
    <t>Apskaitos skyrius; Vyriausiasis specialistas (tarpinstitucinio bendradarbiavimo koordinatorius)</t>
  </si>
  <si>
    <t>01-04-19</t>
  </si>
  <si>
    <t>Atlikti erdvinių duomenų rinkinio tvarkymo funkciją</t>
  </si>
  <si>
    <t>Apskaitos skyrius; Miesto plėtros ir paveldosaugos skyrius</t>
  </si>
  <si>
    <t>Atlikta tvarkymo funkcija</t>
  </si>
  <si>
    <t>01-04-20</t>
  </si>
  <si>
    <t>Vykdyti valstybinės žemės, perduotos Vyriausybės nutarimu, patikėtinio funkciją</t>
  </si>
  <si>
    <t>Žemės valdymo skyrius; Apskaitos skyrius</t>
  </si>
  <si>
    <t>01-04-21</t>
  </si>
  <si>
    <t>Asmenų su negalia reikalų koordinatoriaus pareigybės išlaikymas</t>
  </si>
  <si>
    <t>Apskaitos skyrius; Socialinių paslaugų skyrius</t>
  </si>
  <si>
    <t>01-05</t>
  </si>
  <si>
    <t>Užtikrinti finansinių įsipareigojimų vykdymą</t>
  </si>
  <si>
    <t>Savivaldybės skola (proc. nuo pajamų be dotacijų)</t>
  </si>
  <si>
    <t>01-05-01</t>
  </si>
  <si>
    <t>Vykdyti paskolų grąžinimą, palūkanų už paskolas mokėjimą ir kitus finansinius  įsipareigojimus</t>
  </si>
  <si>
    <t>Strateginio planavimo ir finansų skyrius</t>
  </si>
  <si>
    <t>Pasirašytų paskolų sutarčių</t>
  </si>
  <si>
    <t>Įvykdyti skoliniai įsipareigojimai</t>
  </si>
  <si>
    <t>01-05-02</t>
  </si>
  <si>
    <t>Vykdyti išmokėtos dotacijų dalies savivaldybei grąžinimą</t>
  </si>
  <si>
    <t>Įvykdyti sutartiniai įsipareigojimai</t>
  </si>
  <si>
    <t>01-05-03</t>
  </si>
  <si>
    <t>Užtikrinti Biudžetinių įstaigų finansinį, ūkinį aptarnavimą</t>
  </si>
  <si>
    <t>Apskaitos skyrius; Švietimo skyrius</t>
  </si>
  <si>
    <t>Įvykdyti švietimo įstaigų statinių inžinerinių sistemų avarijų ir jų padarinių šalinimo darbai</t>
  </si>
  <si>
    <t>Apdraustų biudžetinių įstaigų civilinės atsakomybės draudimu skaičius</t>
  </si>
  <si>
    <t>01-06</t>
  </si>
  <si>
    <t>Užtikrinti Savivaldybei nuosavybės teise priklausančio turto tinkamą įregistravimą,  eksploatavimą, renovavimą, remontą ir  saugojimą</t>
  </si>
  <si>
    <t>Teisiškai sutvarkytų ir  įregistruotų  nekilnojamojo turto sk.  nuo viso turimo turto, proc.</t>
  </si>
  <si>
    <t>01-06-01</t>
  </si>
  <si>
    <t>Apmokėti pastatų, patalpų ir inžinerinių statinių vertinimo, kadastrinių matavimų atlikimo, teisines registracijos išlaidas</t>
  </si>
  <si>
    <t>Turto valdymo skyrius</t>
  </si>
  <si>
    <t>Nekilnojamojo turto registre teisiškai įregistruoto turto skaičius</t>
  </si>
  <si>
    <t>01-06-02</t>
  </si>
  <si>
    <t>Padengti Privatizavimo programos vykdymo išlaidas</t>
  </si>
  <si>
    <t>Padengtos išlaidos</t>
  </si>
  <si>
    <t>01-06-03</t>
  </si>
  <si>
    <t>Apmokėti turto, kuris neturi savininko (ar savininkas nežinomas) laikinosios priežiūros ir laikinųjų apsaugos priemonių įrengimo arba griovimo išlaidas</t>
  </si>
  <si>
    <t>Statybos ir renovacijos skyrius; Turto valdymo skyrius</t>
  </si>
  <si>
    <t>Prižiūrimų ir nugriautų objektų skaičius</t>
  </si>
  <si>
    <t>01-06-04</t>
  </si>
  <si>
    <t>Apmokėti Savivaldybei nuosavybės teise priklausančių pastatų, patalpų ir inžinerinių statinių  draudimo, apsaugos, remonto, komunalines ir kitas išlaidas</t>
  </si>
  <si>
    <t>Apmokėtos eksploatavimo išlaidos</t>
  </si>
  <si>
    <t>01-06-05</t>
  </si>
  <si>
    <t>Apmokėti Savivaldybei nuosavybės teise priklausančio nekilnojamojo turto renovacijos išlaidas</t>
  </si>
  <si>
    <t>Apmokėtos renovacijos išlaidos</t>
  </si>
  <si>
    <t>01-06-06</t>
  </si>
  <si>
    <t>Užtikrinti skolų išieškojimą ir skolininkų iškeldinimą iš Savivaldybei nuosavybės teise priklausančių būstų</t>
  </si>
  <si>
    <t>Įvykdytų teismų sprendimų</t>
  </si>
  <si>
    <t>01-06-07</t>
  </si>
  <si>
    <t>Apmokėti Savivaldybei nuosavybės teise priklausančių būstų eksploatavimo, administravimo, kaupimo, nuomos mokesčio surinkimo, komunalinių mokesčių, remonto išlaidas</t>
  </si>
  <si>
    <t>Suremontuotų būstų skaičius</t>
  </si>
  <si>
    <t>Būstų, kuriems apmokamos eksploatavimo išlaidos skaičius</t>
  </si>
  <si>
    <t>01-06-08</t>
  </si>
  <si>
    <t>Kompensuoti daugiabučių namų savininkų bendrijų steigimo išlaidas</t>
  </si>
  <si>
    <t>Bendrijų, kurioms padengtos steigimo išlaidos, skaičius</t>
  </si>
  <si>
    <t>01-06-09</t>
  </si>
  <si>
    <t>Kompensuoti būsto nuomos ar išperkamosios būsto nuomos mokesčių dalį</t>
  </si>
  <si>
    <t>Asmenų ir šeimų, gaunančių būsto nuomos mokesčio dalies kompensaciją, skaičius</t>
  </si>
  <si>
    <t>Rinkoje nuomojamų būstų, kuriems kompensuojamas nuomos mokestis, skaičius</t>
  </si>
  <si>
    <t>02</t>
  </si>
  <si>
    <t>Kultūros programa</t>
  </si>
  <si>
    <t>02-01</t>
  </si>
  <si>
    <t>Stiprinti miesto kultūrinio gyvenimo aktyvumą</t>
  </si>
  <si>
    <t>Kultūros įstaigų lankytojų skaičius:</t>
  </si>
  <si>
    <t>Bibliotekų lankytojų skaičius</t>
  </si>
  <si>
    <t>Muziejų lankytojų skaičius</t>
  </si>
  <si>
    <t>Galerijų lankytojų skaičius</t>
  </si>
  <si>
    <t>Teatrų lankytojų skaičius</t>
  </si>
  <si>
    <t>Koncertų salių lankytojų skaičius</t>
  </si>
  <si>
    <t>Kultūros centrų lankytojų skaičius</t>
  </si>
  <si>
    <t>Naujų užsienio miestų (ir šalių), įtrauktų į ilgalaikę kultūros partnerystę (trunkančią ilgiau kaip 1 m.), skaičius</t>
  </si>
  <si>
    <t>02-01-01</t>
  </si>
  <si>
    <t>Užtikrinti kultūros įstaigų veiklą</t>
  </si>
  <si>
    <t>Kultūros skyrius; Kultūros įstaigos</t>
  </si>
  <si>
    <t>Surengtų parodų skaičius</t>
  </si>
  <si>
    <t>Surengtų renginių skaičius</t>
  </si>
  <si>
    <t>Įgyvendintų projektų skaičius</t>
  </si>
  <si>
    <t>Surengtų edukacijų skaičius</t>
  </si>
  <si>
    <t>2.01.</t>
  </si>
  <si>
    <t>Surengtų ekskursijų skaičius</t>
  </si>
  <si>
    <t>Lankytojų (renginių, parodų, projektų ir kt. lankytojų, žiūrovų, klausytojų, skaitytojų, paslaugų vartotojų ir pan.) skaičius</t>
  </si>
  <si>
    <t>2.02.</t>
  </si>
  <si>
    <t>Dalyvių (renginyje / parodoje / koncerte / projekte / festivalyje ir pan. dalyvavusių kūrėjų, atlikėjų, organizatorių, savanorių ir kt.) skaičius</t>
  </si>
  <si>
    <t>Edukacijų dalyvių skaičius</t>
  </si>
  <si>
    <t>Ekskursijų dalyvių skaičius</t>
  </si>
  <si>
    <t>02-01-02</t>
  </si>
  <si>
    <t>Skatinti Šiaulių miesto kultūros ir meno įvairovę, sklaidą, prieinamumą</t>
  </si>
  <si>
    <t>Finansuotų kultūros projektų skaičius</t>
  </si>
  <si>
    <t>02-01-03</t>
  </si>
  <si>
    <t>Skatinti meno kūrėjus</t>
  </si>
  <si>
    <t>Įteiktų premijų ir stipendijų skaičius</t>
  </si>
  <si>
    <t>Pagal parengtą naują Kultūros ir meno kūrėjų stipendijų programą, sukurtų naujų kultūros produktų</t>
  </si>
  <si>
    <t>Pagal parengtą naują Meno (viešose erdvėse) rėmimo programą, sukurtų naujų kultūros produktų</t>
  </si>
  <si>
    <t>Pagal parengtą naują Kultūros ir meno kūrėjų stipendijų programą stipendijas gavusių asmenų asmenų skaičius</t>
  </si>
  <si>
    <t>Pagal parengtą naują Meno (viešose erdvėse) rėmimo programą, programos dalyvių skaičius</t>
  </si>
  <si>
    <t>02-01-04</t>
  </si>
  <si>
    <t>Užtikrinti reprezentacinių Šiaulių miesto festivalių tęstinumą, jų ilgalaikiškumą, dalinį finansavimą, skatinti naujų idėjų, raiškos formų atsiradimą ir raidą</t>
  </si>
  <si>
    <t>Finansuotų festivalių skaičius</t>
  </si>
  <si>
    <t>Kultūros įstaigų suorganizuotų renginių kartu su jaunaisiais meno kūrėjais skaičius</t>
  </si>
  <si>
    <t>Atnaujintų ir / ar naujų kultūros paslaugų skaičius tautinėms mažumoms pavaldžiose kultūros įstaigose</t>
  </si>
  <si>
    <t>Įgyvendintų kultūros įstaigų projektų, skirtų socialinę ir kultūrinę atskirtį patiriantiems gyventojams, skaičius</t>
  </si>
  <si>
    <t>02-01-05</t>
  </si>
  <si>
    <t>Koordinuoti valstybinių švenčių, atmintinų dienų paminėjimą, svarbių renginių, plenerų organizavimą, puoselėti tautines tradicijas</t>
  </si>
  <si>
    <t>Surengtų miesto, valstybinių, kalendorinių švenčių ir atmintinų dienų minėjimų skaičius</t>
  </si>
  <si>
    <t>Įgyvendintų Tolygios kultūrinės raidos programos projektų, papildomų kultūros priemonių skaičius</t>
  </si>
  <si>
    <t>Atminimo ženklų sukūrimo ir gamybos paslaugų skaičius</t>
  </si>
  <si>
    <t>Suorganizuotų Europos paveldo dienų renginių ciklų skaičius</t>
  </si>
  <si>
    <t>02-01-07</t>
  </si>
  <si>
    <t>Įgyvendinti kultūros priemonės miesto įvaizdžiui gerinti</t>
  </si>
  <si>
    <t>Kultūros priemonių, miesto įvaizdžiui gerinti, skaičius</t>
  </si>
  <si>
    <t>02-01-08</t>
  </si>
  <si>
    <t>Plėtoti kultūros paveldo apskaitą</t>
  </si>
  <si>
    <t>Miesto plėtros ir paveldosaugos skyrius</t>
  </si>
  <si>
    <t>Įgyvendintų kultūros paveldo apskaitos priemonių skaičius</t>
  </si>
  <si>
    <t>02-02</t>
  </si>
  <si>
    <t>Išvystyti gyventojų poreikius atitinkančią kultūros įstaigų infrastruktūrą</t>
  </si>
  <si>
    <t>Kultūros įstaigų pastatų, kurie yra geros būklės, skaičius nuo visų kultūros įstaigų pastatų</t>
  </si>
  <si>
    <t>02-02-01</t>
  </si>
  <si>
    <t>Atnaujinti (modernizuoti) Šiaulių miesto koncertinę įstaigą „Saulė" (Tilžės g. 140), rekonstruoti pastatą</t>
  </si>
  <si>
    <t>Kultūros skyrius; Šiaulių miesto koncertinė įstaiga „Saulė“</t>
  </si>
  <si>
    <t>Parengta techninė dokumentacija</t>
  </si>
  <si>
    <t>Atlikta senosios pastato dalies administracinių ir techninių patalpų remonto darbų dalis</t>
  </si>
  <si>
    <t>Atlikta pastato fasado (nuo Tilžės g.) ir laiptų remonto dalis</t>
  </si>
  <si>
    <t>02-02-03</t>
  </si>
  <si>
    <t>Didinti Šiaulių miesto kultūros centro „Laiptų galerija“ pastato (Žemaitės g. 83) funkcionalumą“</t>
  </si>
  <si>
    <t>Statybos ir renovacijos skyrius; Kultūros skyrius; Miesto plėtros ir paveldosaugos skyrius</t>
  </si>
  <si>
    <t>Atlikta planuotų darbų dalis</t>
  </si>
  <si>
    <t>02-02-04</t>
  </si>
  <si>
    <t>Atnaujinti (modernizuoti) Šiaulių dailės galerijos pastatą / patalpas (Vilniaus g. 245)</t>
  </si>
  <si>
    <t>Kultūros skyrius; Šiaulių dailės galerija</t>
  </si>
  <si>
    <t>Atlikta ekspozicinių salių rekonstrukcijos, remonto ir pritaikymo multifunkciniams tikslams darbų dalis</t>
  </si>
  <si>
    <t>Atlikta kasos, holo ir informacinio centro rekonstrukcijos, remonto ir rūbinės įrengimo darbų dalis</t>
  </si>
  <si>
    <t>02-02-05</t>
  </si>
  <si>
    <t>Didinti Šiaulių kultūros centro Rėkyvos kultūros namų funkcionalumą</t>
  </si>
  <si>
    <t>Statybos ir renovacijos skyrius; Kultūros skyrius; Viešųjų investicijų skyrius; Šiaulių kultūros centras</t>
  </si>
  <si>
    <t>Atlikta teritorijos sutvarkymo darbų dalis</t>
  </si>
  <si>
    <t>Atlikta daugiafunkcės erdvės įkūrimo darbų dalis</t>
  </si>
  <si>
    <t>Atlikta energinio efektyvumo didinimo rangos darbų dalis</t>
  </si>
  <si>
    <t>02-02-06</t>
  </si>
  <si>
    <t>Modernizuoti kultūros įstaigų pastatus / statinius / patalpas</t>
  </si>
  <si>
    <t>Kultūros skyrius; Šiaulių miesto savivaldybės viešoji biblioteka; Šiaulių kultūros centras</t>
  </si>
  <si>
    <t>Įrengtas neįgaliųjų pandusas Šiaulių miesto savivaldybės viešosios bibliotekos Lieporių filiale (Tilžės g. 36 Šiauliai)</t>
  </si>
  <si>
    <t>Įkurta išmanioji erdvė Šiaulių miesto savivaldybės viešosios bibliotekos Lieporių filiale (Tilžės g. 36 Šiauliai)</t>
  </si>
  <si>
    <t>Įsigytas lauko įgarsinimo ir apšvietimo įrangos komplektas</t>
  </si>
  <si>
    <t>02-02-07</t>
  </si>
  <si>
    <t xml:space="preserve">Sudaryti sąlygas saugoti, įveiklinti miesto nekilnojamąjį kultūros paveldą </t>
  </si>
  <si>
    <t>Sutvarkytų kultūros paveldo objektų skaičius</t>
  </si>
  <si>
    <t>Suprojektuotų, pagamintų ir sumontuotų informacinių stovų (stendų), prie Šiaulių m. memorialinių objektų – neveikiančių kapinių, skaičius</t>
  </si>
  <si>
    <t>kompl.</t>
  </si>
  <si>
    <t>Įvykdyti Antrojo pasaulinio karo Sovietų Sąjungos karių palaikų perkėlimo darbus</t>
  </si>
  <si>
    <t>03</t>
  </si>
  <si>
    <t>Aplinkos apsaugos programa</t>
  </si>
  <si>
    <t>03-01</t>
  </si>
  <si>
    <t>Mažinti aplinkos taršą ir kurti miesto ekosistemą, siekiant didinti atsparumą klimato kaitos padariniams</t>
  </si>
  <si>
    <t>Atsinaujinančių išteklių dalis pagal savivaldybės energijos balansą</t>
  </si>
  <si>
    <t>Gyventojų dalis, kurių būstai veikiami padidinto triukšmo lygio, nuo visų gyventojų skaičiaus</t>
  </si>
  <si>
    <t>Kietųjų dalelių dydis 1m3</t>
  </si>
  <si>
    <t>mg</t>
  </si>
  <si>
    <t>Bendras viešųjų atskirųjų želdynų plotas, tenkantis vienam miesto gyventojui</t>
  </si>
  <si>
    <t>kv.m.</t>
  </si>
  <si>
    <t>03-01-01</t>
  </si>
  <si>
    <t>Užtikrinti Šiaulių municipalinės aplinkos tyrimų laboratorijos veiklą</t>
  </si>
  <si>
    <t>Miesto ūkio ir aplinkos skyrius; Šiaulių municipalinė aplinkos tyrimų laboratorija</t>
  </si>
  <si>
    <t>Atlikta aplinkos stebėsena ir parengta ataskaita</t>
  </si>
  <si>
    <t>Patobulinta aplinkos monitoringo sistema</t>
  </si>
  <si>
    <t>03-01-02</t>
  </si>
  <si>
    <t>Išsaugoti biologinę įvairovę</t>
  </si>
  <si>
    <t>1.11.</t>
  </si>
  <si>
    <t>Įrengtų želdinių juostų šalia gatvių, pėsčiųjų ir dviračių takų ilgis</t>
  </si>
  <si>
    <t>m</t>
  </si>
  <si>
    <t>Įregistruotų atskirųjų želdynų sklypų plotas</t>
  </si>
  <si>
    <t>ha</t>
  </si>
  <si>
    <t>Naujai įrengtų atskirųjų želdynų, pritaikytų naudoti visais metų laikais, skaičius</t>
  </si>
  <si>
    <t>Įdiegtų natūralių ir pusiau natūralių pievų želdynuose plotas</t>
  </si>
  <si>
    <t>Sunaikintas Sosnovskio barščių kiekis</t>
  </si>
  <si>
    <t>m2</t>
  </si>
  <si>
    <t>Pasodintų želdinių skaičius</t>
  </si>
  <si>
    <t>03-01-03</t>
  </si>
  <si>
    <t>Vykdyti želdinių ir miškų priežiūrą</t>
  </si>
  <si>
    <t>Užtikrinta želdinių priežiūra (genėjimas, atžalų šalinimas, kelmų sutvarkymas, laistymas, tręšimas, kaštonų lapų surinkimas), pagal skirtą finansavimą</t>
  </si>
  <si>
    <t>Išvalytų vandens telkinių pakrančių plotas nuo perteklinių vandens augalų</t>
  </si>
  <si>
    <t>Robotizuotai prižiūrimų želdynų ploto dalis nuo viso želdynų ploto</t>
  </si>
  <si>
    <t>03-01-04</t>
  </si>
  <si>
    <t>Vykdyti paviršinių vandens telkinių ir lietaus nuotekų sistemos priežiūrą</t>
  </si>
  <si>
    <t>Sutvarkytų lietaus sistemos griovių skaičius</t>
  </si>
  <si>
    <t>Inventorizuotų griovių, kadastrinių matavimų įregistravimų NTR dalis nuo visų griovių</t>
  </si>
  <si>
    <t>03-01-05</t>
  </si>
  <si>
    <t>Įgyvendinti aplinkos oro kokybės valdymo programos priemones, vykdyti aplinkos kokybės stebėseną</t>
  </si>
  <si>
    <t>Išvalyta gatvių nuo pavasarinio purvo dėl pakeltosios taršos</t>
  </si>
  <si>
    <t>km</t>
  </si>
  <si>
    <t>1.12.</t>
  </si>
  <si>
    <t>Įdiegta mažos taršos zonos dalis nuo visos zonos</t>
  </si>
  <si>
    <t>Žvyruotų gatvių ilgis, kurios apdorojamos dulkėtumą mažinančiomis medžiagomis</t>
  </si>
  <si>
    <t>Parengta požeminio vandens ir dirvožemio ataskaita (bei atlikti tyrimai stebimose Šiaulių miesto vietose)</t>
  </si>
  <si>
    <t>03-01-06</t>
  </si>
  <si>
    <t>Likviduoti pavojingus radinius ir ekologinių avarijų padarinius</t>
  </si>
  <si>
    <t>Miesto ūkio ir aplinkos skyrius; Civilinės saugos ir teisėtvarkos skyrius</t>
  </si>
  <si>
    <t>Likviduotų radinių ir avarijų dalis nuo visų reikiamų likviduoti</t>
  </si>
  <si>
    <t>03-01-07</t>
  </si>
  <si>
    <t>Įgyvendinti gyvūnų gerovės priemones</t>
  </si>
  <si>
    <t>Suremontuotų ir prižiūrėtų šunų vedžiojimo ir kačių šėrimo aikštelių skaičius</t>
  </si>
  <si>
    <t>Veterinarinių paslaugų skaičius</t>
  </si>
  <si>
    <t>03-01-08</t>
  </si>
  <si>
    <t>Didinti gyventojų ir organizacijų supratimą apie žiedinę ekonomiką ir skatinti sąmoningumą, siekiant gyventi tvariau</t>
  </si>
  <si>
    <t>Paremtų NVO projektų skaičius</t>
  </si>
  <si>
    <t>Įsigytų leidinių skaičius</t>
  </si>
  <si>
    <t>Suorganizuotų renginių (Žemės diena, Europos judumo savaitė) skaičius</t>
  </si>
  <si>
    <t>Įgyvendintų visuomenės švietimo ir informavimo priemonių skaičius</t>
  </si>
  <si>
    <t>03-01-09</t>
  </si>
  <si>
    <t>Įgyvendinti projektą „Apsauga nuo invazinių augalų rūšių, siekiant išsaugoti biologinę įvairovę"</t>
  </si>
  <si>
    <t>Miesto ūkio ir aplinkos skyrius; Viešųjų investicijų skyrius</t>
  </si>
  <si>
    <t>Atliktas invazinių rūšių naikinimas</t>
  </si>
  <si>
    <t>Parengtas invazinių rūšių naikinimo planas</t>
  </si>
  <si>
    <t>03-01-10</t>
  </si>
  <si>
    <t>Įgyvendinti projektą „Atsparios ir ekologiškos aplinkos kūrimas Šiauliuose ir Liepojoje"</t>
  </si>
  <si>
    <t>Parengta žalinimo plano</t>
  </si>
  <si>
    <t>Realizuota žalinimo iniciatyva</t>
  </si>
  <si>
    <t>03-02</t>
  </si>
  <si>
    <t>Taikyti žiedinės ekonomikos principus komunalinių atliekų tvarkyme</t>
  </si>
  <si>
    <t>Sąvartynuose šalinamų komunalinių atliekų dalis nuo visų susidariusių komunalinių atliekų</t>
  </si>
  <si>
    <t>Atliekų, tenkančių vienam gyventojui, kiekis</t>
  </si>
  <si>
    <t>kg</t>
  </si>
  <si>
    <t>03-02-01</t>
  </si>
  <si>
    <t>Skatinti komunalinių atliekų rūšiuojamąjį surinkimą</t>
  </si>
  <si>
    <t>Miesto ūkio ir aplinkos skyrius; VŠĮ Šiaulių regiono atliekų tvarkymo centras</t>
  </si>
  <si>
    <t>Sutvarkytas komunalinių atliekų kiekis</t>
  </si>
  <si>
    <t>t</t>
  </si>
  <si>
    <t>Išrūšiuotų (atskirai surinktų), atliekų dalis nuo visų komunalinių atliekų</t>
  </si>
  <si>
    <t>04</t>
  </si>
  <si>
    <t>Urbanistinės plėtros ir infrastruktūros programa</t>
  </si>
  <si>
    <t>Miesto ūkio ir aplinkos skyrius; Architektūros skyrius</t>
  </si>
  <si>
    <t>04-01</t>
  </si>
  <si>
    <t>Kompleksiškai planuoti gyvybingą ir nuoseklią miesto struktūrą</t>
  </si>
  <si>
    <t>Kompleksiniais teritorijų planavimo dokumentais naujai suplanuotų teritorijų bendras plotas, palyginti su bendru miesto urbanizuotų teritorijų plotu</t>
  </si>
  <si>
    <t>04-01-01</t>
  </si>
  <si>
    <t>Koreguoti Šiaulių miesto savivaldybės teritorijos bendrąjį planą</t>
  </si>
  <si>
    <t>Architektūros skyrius</t>
  </si>
  <si>
    <t>Atliktas Bendrojo plano pakeitimas</t>
  </si>
  <si>
    <t>Parengtas Šiaulių miesto bendrojo plano koregavimas teritorijose tarp Trumpiškių, Bačiūnų, Pramonės g. ir želdynų ploto bei Šiaulių miesto administracinės ribos, Lingailių g., sklypo, kurio kadastro Nr. 2901/8001:0007, ir Bačiūnų g.</t>
  </si>
  <si>
    <t>04-01-02</t>
  </si>
  <si>
    <t>Organizuoti detaliųjų ir specialiųjų planų parengimą</t>
  </si>
  <si>
    <t>Parengtų detaliųjų ir specialiųjų planų skaičius</t>
  </si>
  <si>
    <t>Parengtas Prisikėlimo aikštės su prieigomis detaliojo plano keitimas</t>
  </si>
  <si>
    <t>Atliktas žemės sklypo J. Žemaičio g. 3, Šiauliuose detaliojo plano keitimas</t>
  </si>
  <si>
    <t>Atliktas supaprastinta tvarka parengto žemės sklypo Pramonės g. 15, Šiauliuose detaliojo plano koregavimas</t>
  </si>
  <si>
    <t>Įvykdytas supaprastinta tvarka parengto žemės sklypo Tilžės g. 74A, Šiauliuose, detaliojo plano koregavimas</t>
  </si>
  <si>
    <t>Parengtas Daušiškių kapinių detaliojo plano koregavimas</t>
  </si>
  <si>
    <t>Jei atsiras poreikis su konkrečiu spec. plano parengimo pavadinimu</t>
  </si>
  <si>
    <t>Parengtas Teritorijos tarp Aušros al., Žemaitės, Dobilo ir Vaisių g. (Centrinio parko) Šiaulių mieste detaliojo plano keitimas</t>
  </si>
  <si>
    <t>Atliktas supaprastinta tvarka parengto detaliojo plano sklypo Marijampolės g.22 keitimas</t>
  </si>
  <si>
    <t>Atliktas supaprastinta tvarka parengto detalaus plano teritorijos Architektų g.1, Šiauliuose  koregavimas</t>
  </si>
  <si>
    <t>Parengtas kvartalo, esančio tarp Perkūno, Sprudeikos g. ir Aukštabalio g. tęsinio, detalusis planas</t>
  </si>
  <si>
    <t>Parengtas Salduvės parko teritorijos Šiauliuose detalusis planas</t>
  </si>
  <si>
    <t>Žemės sklypų Lyros g. 13, Lyros g. 13B, Šiauliuose, ir šalia šių sklypų esančios laisvos valstybinės žemės detaliojo plano rengimas</t>
  </si>
  <si>
    <t>Teritorijos, esančios tarp Gytarių g., Javų g., Pailių g. ir Ringuvos g. sklypų Nr. 1-29, Šiauliuose, detaliojo plano rengimo paslauga</t>
  </si>
  <si>
    <t>Teritorijos tarp Gardino, Architektų, Aukštabalio (dabar – Jablonskio) g. ir Lieporių gyvenamojo kvartalo detaliojo plano koregavimas</t>
  </si>
  <si>
    <t>Talkšos ir jo prieigų, Ežero gyvenamojo rajono bei teritorijos Vilniaus g. 72, Šiauliuose, detaliojo plano koregavimas</t>
  </si>
  <si>
    <t>Žemės sklypo Pakruojo g. 10, Šiauliuose, detaliojo plano keitimo rengimas</t>
  </si>
  <si>
    <t>Zoknių gyvenamojo  rajono Šiauliuose, detaliojo plano koregavimas</t>
  </si>
  <si>
    <t>Teritorijos esančios tarpVoveriškių g., Tilžės g. ir Vijolės upelio, Šiauliuose detalusis planas</t>
  </si>
  <si>
    <t>Teritorijos, esančios tarp Žaliūkių g., Voveriškių g., ir Vijolės upelio, Šiauliuose, detalusis planas</t>
  </si>
  <si>
    <t>Teritorijos, esančios tarp Vytauto g., Ežero g. ir Vilniaus g., Šiauliuose, detaliojo plano rengimas</t>
  </si>
  <si>
    <t>Teritorijos, esančios tarp Vilniaus g., Vilniaus g. 96 Trakų g. ir Ežero g., Šiauliuose, detaliojo plano rengimas</t>
  </si>
  <si>
    <t>04-01-03</t>
  </si>
  <si>
    <t>Įgyvendinti  žemės paėmimo visuomenės poreikiams procedūrą</t>
  </si>
  <si>
    <t>Žemės valdymo skyrius</t>
  </si>
  <si>
    <t>Įgyvendinta žemės paėmimo visuomenės poreikiams procedūra, paimtas žemės sklypas visuomenės poreikiams</t>
  </si>
  <si>
    <t>Parengta sąnaudų naudos analizė</t>
  </si>
  <si>
    <t>04-01-04</t>
  </si>
  <si>
    <t>Rengti žemėtvarkos planavimo dokumentus, žemės sklypų kadastrinius matavimus</t>
  </si>
  <si>
    <t>Parengtų kadastrinių matavimų bylų, žemės sklypų pertvarkymo projektų skaičius</t>
  </si>
  <si>
    <t>04-01-05</t>
  </si>
  <si>
    <t>Užtikrini tvarų, miesto identitetą pabrėžiantį miesto planavimą</t>
  </si>
  <si>
    <t>Miesto plėtros ir paveldosaugos skyrius; Architektūros skyrius</t>
  </si>
  <si>
    <t>Urbanistinių ir architektūrinių vizijų / koncepcijų / planų skaičius</t>
  </si>
  <si>
    <t>Įgyvendintas paminklo "Tautos laisvė" projektas</t>
  </si>
  <si>
    <t>Atnaujintų miesto vartų ženklų, remiantis miesto identiteto simbolika, skaičius</t>
  </si>
  <si>
    <t>Sukurta miesto vizualinio identiteto strategija, išryškinanti miesto identitetą, jį skatinančių, vizualinių, meninių priemonių / objektų, akcentų naudojimą</t>
  </si>
  <si>
    <t>Suorganizuotų urbanistinių ar architektūrinių konkursų skaičius</t>
  </si>
  <si>
    <t>04-01-06</t>
  </si>
  <si>
    <t>Organizuoti projektinių darbų finansavimą</t>
  </si>
  <si>
    <t>Statybos ir renovacijos skyrius; Miesto ūkio ir aplinkos skyrius; Miesto plėtros ir paveldosaugos skyrius</t>
  </si>
  <si>
    <t>Miesto plėtros ir paveldosaugos skyriaus parengtų techninių projektų skaičius</t>
  </si>
  <si>
    <t>Statybos ir renovacijos skyriaus parengtų statybos projektų skaičius</t>
  </si>
  <si>
    <t>Miesto ūkio ir aplinkos skyriaus parengtų techninių projektų skaičius</t>
  </si>
  <si>
    <t>04-01-07</t>
  </si>
  <si>
    <t>Konvertuoti centro teritorijoje esančių pramoninių kompleksų teritorijas į mišrios paskirties miesto teritorijas</t>
  </si>
  <si>
    <t>Parengtų kompleksinių teritorijų planavimo dokumentų, kuriuose numatyta pramoninių teritorijų konversija, skaičius</t>
  </si>
  <si>
    <t>Urbanistinių / architektūrinių konkursų konversinėse teritorijose skaičius</t>
  </si>
  <si>
    <t>04-01-08</t>
  </si>
  <si>
    <t>Planuoti naują plėtrą centrinėse, gerai aprūpintose miesto teritorijose ir skatinti mažaaukštės, bet tankios tipologijos atsiradimą (kotedžai)</t>
  </si>
  <si>
    <t>Naujų statybos leidimų skaičius senamiestyje, miesto periferiniuose centruose, gyvenamosiose didelio užstatymo intensyvumo teritorijose ir kitose didelio užstatymo teritorijose</t>
  </si>
  <si>
    <t>Kompleksinių teritorijų planavimo dokumentais naujai suplanuotas plotas senamiestyje, miesto periferiniuose centruose, gyvenamosiose didelio užstatymo intensyvumo teritorijose ir kitose didelio užstatymo teritorijose</t>
  </si>
  <si>
    <t>Mažaaukštės, bei tankios tipologijos (kotedžai) teritorijų planavimo dokumentais suplanuotas plotas</t>
  </si>
  <si>
    <t>04-01-09</t>
  </si>
  <si>
    <t>Organizuoti miesto erdvinių duomenų bazės techninę priežiūrą, programinės įrangos atnaujinimą</t>
  </si>
  <si>
    <t>Atnaujintos programinės įrangos skaičius</t>
  </si>
  <si>
    <t>04-01-10</t>
  </si>
  <si>
    <t>Organizuoti Šiaulių miesto savivaldybės geodezijos ir kartografijos darbus</t>
  </si>
  <si>
    <t>Parengtų topografinių planų skaičius</t>
  </si>
  <si>
    <t>04-01-11</t>
  </si>
  <si>
    <t>Įgyvendinti projektą „Šiaulių miesto miškų sklypų suformavimas ir įregistravimas nekilnojamo turto registre“</t>
  </si>
  <si>
    <t>Viešųjų investicijų skyrius; Žemės valdymo skyrius</t>
  </si>
  <si>
    <t>Suformuotų ir įregistruotų miesto miškų sklypų</t>
  </si>
  <si>
    <t>04-02</t>
  </si>
  <si>
    <t>Formuoti darnias miesto jungtis, užtikrinančias tvarų ir saugų judėjimą mieste</t>
  </si>
  <si>
    <t>Neasfaltuotų gatvių dalis nuo viso gatvių tinklo</t>
  </si>
  <si>
    <t>Atnaujintų pėsčiųjų takų dalis nuo bendro takų ilgio</t>
  </si>
  <si>
    <t>Dviračių takų ilgis metų pabaigoje, tenkantis 1 tūkst. gyventojų</t>
  </si>
  <si>
    <t>Modalinis kelionių pasiskirstymas (automobiliu)</t>
  </si>
  <si>
    <t>Modalinis kelionių pasiskirstymas (viešuoju transportu)</t>
  </si>
  <si>
    <t>Modalinis kelionių pasiskirstymas (dviračiais)</t>
  </si>
  <si>
    <t>Modalinis kelionių pasiskirstymas (pėsčiomis)</t>
  </si>
  <si>
    <t>Vidutiniškai vienam gyventojui tenkančių kelionių autobusais skaičius</t>
  </si>
  <si>
    <t>04-02-01</t>
  </si>
  <si>
    <t>Vykdyti gatvių, aikštelių, šaligatvių, dviračių ir pėsčiųjų takų remonto ir aptarnavimo darbus</t>
  </si>
  <si>
    <t>Miesto ūkio ir aplinkos skyrius; Medelyno seniūnija; Rėkyvos seniūnija</t>
  </si>
  <si>
    <t>Prižiūrimų mokėjimo parkomatų skaičius</t>
  </si>
  <si>
    <t>Užtaisytas miesto gatvių (duobių išdaužų vietose) plotas</t>
  </si>
  <si>
    <t>1.06.</t>
  </si>
  <si>
    <t>Prižiūrimų gatvių su žvyro danga ilgis</t>
  </si>
  <si>
    <t>Paženklintų gatvių su asfalto danga, pėsčiųjų perėjų, sankryžų plotas</t>
  </si>
  <si>
    <t>04-02-02</t>
  </si>
  <si>
    <t>Vykdyti naujų magistralinių gatvių suprojektavimo ir nutiesimo, susisiekimo komunikacijų įrengimo, rekonstravimo ir remonto darbus</t>
  </si>
  <si>
    <t>Statybos ir renovacijos skyrius; Miesto plėtros ir paveldosaugos skyrius</t>
  </si>
  <si>
    <t>Atlikti miesto gatvių remonto darbai pagal 2025-2027 m. reitingo eilę</t>
  </si>
  <si>
    <t>1.02.</t>
  </si>
  <si>
    <t>04-02-03</t>
  </si>
  <si>
    <t>Įgyvendinti projektą „Eismo saugos gerinimas Šiaulių mieste, šalinant juodąsias dėmes“</t>
  </si>
  <si>
    <t>Įdiegtų saugų eismą gerinančių priemonių skaičius</t>
  </si>
  <si>
    <t>04-02-04</t>
  </si>
  <si>
    <t>Įgyvendinti darnaus judumo projektus Šiaulių mieste</t>
  </si>
  <si>
    <t>Įrengtų / rekonstruotų dviračių takų ilgis</t>
  </si>
  <si>
    <t>Atnaujintų / nutiestų pėsčiųjų takų ir šaligatvių ilgis</t>
  </si>
  <si>
    <t>Atlikta „Statyk ir važiuok“ aikštelių įrengimo darbų</t>
  </si>
  <si>
    <t>Įrengta „Statyk ir važiuok“ aikštelių</t>
  </si>
  <si>
    <t>04-02-05</t>
  </si>
  <si>
    <t>Vykdyti ir kompensuoti keleivių vežimą</t>
  </si>
  <si>
    <t>Miesto ūkio ir aplinkos skyrius; Ekonomikos skyrius</t>
  </si>
  <si>
    <t>Sutartinių įsipareigojimų vykdymas</t>
  </si>
  <si>
    <t>04-02-06</t>
  </si>
  <si>
    <t>Gerinti viešojo transporto kokybę</t>
  </si>
  <si>
    <t>Miesto ūkio ir aplinkos skyrius; Ekonomikos skyrius; Teisės skyrius; Viešųjų investicijų skyrius; Informacinių technologijų poskyris</t>
  </si>
  <si>
    <t>Įrengtų miesto autobusų stoginių</t>
  </si>
  <si>
    <t>Pakeistų naujais susidėvėjusių suoliukų skaičius</t>
  </si>
  <si>
    <t>Stotelių su išmaniomis informacinėmis sistemomis skaičius</t>
  </si>
  <si>
    <t>Multimodalinių stotelių skaičius</t>
  </si>
  <si>
    <t>Parengti E-bilieto sistemos nuostatai</t>
  </si>
  <si>
    <t>Įdiegta E-bilieto sistema</t>
  </si>
  <si>
    <t>04-02-07</t>
  </si>
  <si>
    <t>Suprojektuoti, nutiesti, išasfaltuoti ar rekonstruoti žvyruotas gatves</t>
  </si>
  <si>
    <t>Išasfaltuotų ir įrengtų žvyruotų gatvių skaičius</t>
  </si>
  <si>
    <t>Išasfaltuotų žvyruotų gatvių ilgis</t>
  </si>
  <si>
    <t>Įrengtų naujų gatvių su patobulinta danga ilgis</t>
  </si>
  <si>
    <t>Privažiavimo nuo Bačiūnų g. iki Poilsio g. 58F asfaltavimas</t>
  </si>
  <si>
    <t>04-02-08</t>
  </si>
  <si>
    <t>Rekonstruoti Tilžės g. viaduką per geležinkelį</t>
  </si>
  <si>
    <t>Atlikta Tilžės g. viaduko rekonstravimo darbų</t>
  </si>
  <si>
    <t>04-02-09</t>
  </si>
  <si>
    <t>Plėsti saugumą didinančių priemonių kiekį mieste</t>
  </si>
  <si>
    <t>Miesto ūkio ir aplinkos skyrius; Miesto koordinavimo skyrius</t>
  </si>
  <si>
    <t>Viešųjų vietų vaizdo stebėjimo kamerų skaičius</t>
  </si>
  <si>
    <t>Įrengtų saugių pėsčiųjų perėjų skaičius</t>
  </si>
  <si>
    <t>Atnaujintų / įrengtų sankryžų, kuriose numatytos saugos priemonės, skaičius</t>
  </si>
  <si>
    <t>Įrengtų saugumo kalnelių skaičius</t>
  </si>
  <si>
    <t>Įrengtų kelio ženklų, atitvarų, signalinių stulpelių skaičius</t>
  </si>
  <si>
    <t>Aptarnaujamų šviesos taškų (šviestuvų, prožektorių) skaičius</t>
  </si>
  <si>
    <t>Valdomų šviesoforų skaičius</t>
  </si>
  <si>
    <t>Prižiūrimų kelio ženklų skaičius</t>
  </si>
  <si>
    <t>Sunaudotas elektros energijos miesto apšvietimui kiekis</t>
  </si>
  <si>
    <t>kWh</t>
  </si>
  <si>
    <t>Įdiegtos Viešųjų vietų vaizdo stebėjimo sistemos funkcionalumą užtikrinančios įrangos tipų, kuriems užtikrinamas palaikymas, skaičius</t>
  </si>
  <si>
    <t>Viešųjų vietų vaizdo stebėjimo sistemos funkcionalumą užtikrinančios naujos  įrangos tipų skaičius</t>
  </si>
  <si>
    <t>04-02-10</t>
  </si>
  <si>
    <t>Plėtoti elektromobilių pakrovimo stotelių tinklą</t>
  </si>
  <si>
    <t>Viešų elektromobilių pakrovimo stotelių skaičius</t>
  </si>
  <si>
    <t>04-03</t>
  </si>
  <si>
    <t>Užtikrinti tvarią, kokybišką miesto infrastruktūros plėtrą</t>
  </si>
  <si>
    <t>Renovuotų daugiabučių dalis nuo visų renovuotinų daugiabučių</t>
  </si>
  <si>
    <t>Naujai suplanuotų / atnaujintų viešųjų erdvių plotas 1 gyventojui</t>
  </si>
  <si>
    <t>04-03-01</t>
  </si>
  <si>
    <t>Tvarkyti aplinką ir vykdyti priežiūros darbus</t>
  </si>
  <si>
    <t>Sutvarkyta aplinka (žaliųjų plotų, gėlynų, benamių gyvūnų, vaikų žaidimo aikštelių priežiūra, sanitarinių paslaugų teikimas, techniškas aptarnavimas miesto renginių metu)</t>
  </si>
  <si>
    <t>04-03-02</t>
  </si>
  <si>
    <t>Vykdyti kapinių priežiūrą ir ritualines paslaugas</t>
  </si>
  <si>
    <t>Užtikrinta visų miesto kapinių priežiūra (administravimas, vandens vežimas, atliekų išvežimas ir kt.)</t>
  </si>
  <si>
    <t>Suremontuota Donelaičio kapinių tvora</t>
  </si>
  <si>
    <t>Palaidotų vienišų žmonių skaičius</t>
  </si>
  <si>
    <t>Pervežtų žmonių palaikų skaičius</t>
  </si>
  <si>
    <t>04-03-03</t>
  </si>
  <si>
    <t>Vykdyti kolumbariumo statybą</t>
  </si>
  <si>
    <t>Miesto ūkio ir aplinkos skyrius; Statybos ir renovacijos skyrius</t>
  </si>
  <si>
    <t>Atliktų kolumbariumo Donelaičio kapinėse statybos darbų dalis</t>
  </si>
  <si>
    <t>Užtikrinta Kolumbariumo priežiūra (kolumbariumo ir takų valymas)</t>
  </si>
  <si>
    <t>04-03-04</t>
  </si>
  <si>
    <t>Įgyvendinti projektą „Šiaulių miesto kapinių valdymo informacinės sistemos sukūrimas, įdiegimas, kapinių duomenų skaitmenizavimas“</t>
  </si>
  <si>
    <t>Miesto ūkio ir aplinkos skyrius; Bendrųjų reikalų skyrius; Viešųjų investicijų skyrius</t>
  </si>
  <si>
    <t>Patobulinta leidimo laidoti išdavimo paslauga</t>
  </si>
  <si>
    <t>04-03-05</t>
  </si>
  <si>
    <t>Įgyvendinti projektą „Vilniaus gatvės pėsčiųjų bulvaro ir amfiteatro rekonstrukcija“</t>
  </si>
  <si>
    <t>Miesto plėtros ir paveldosaugos skyrius; Viešųjų investicijų skyrius</t>
  </si>
  <si>
    <t>Baigta tvarkyti projekto dokumentacija ir finansiniai srautai</t>
  </si>
  <si>
    <t>04-03-06</t>
  </si>
  <si>
    <t>Įgyvendinti projektą „Viešųjų erdvių ir gyvenamosios aplinkos gerinimas teritorijoje, besiribojančioje su Draugystės prospektu, Vytauto gatve, P. Višinskio gatve ir Dubijos gatve"</t>
  </si>
  <si>
    <t>Miesto ūkio ir aplinkos skyrius; Miesto plėtros ir paveldosaugos skyrius; Viešųjų investicijų skyrius</t>
  </si>
  <si>
    <t>04-03-07</t>
  </si>
  <si>
    <t>Įgyvendinti projektą „P. Višinskio gatvės viešųjų erdvių pritaikymas jaunimo poreikiams“</t>
  </si>
  <si>
    <t>04-03-08</t>
  </si>
  <si>
    <t>Įgyvendinti projektą „Lieporių parko atgaivinimas ir pritaikymas bendruomenės veiklai“</t>
  </si>
  <si>
    <t>Atlikta kompleksinio parko sutvarkymo rangos darbų dalis</t>
  </si>
  <si>
    <t>04-03-09</t>
  </si>
  <si>
    <t>Įgyvendinti projektą „Tankiai apgyvendintos Šiaulių miesto urbanizuotos teritorijos atgaivinimas, žalinimas ir funkcionalumo didinimas“</t>
  </si>
  <si>
    <t>Atlikta rangos darbų dalis</t>
  </si>
  <si>
    <t>Parengta teritorijų planavimo dokumentų</t>
  </si>
  <si>
    <t>04-03-10</t>
  </si>
  <si>
    <t>Kompleksiškai atnaujinti mikrorajonų (laisvo planavimo daugiabučių teritorijos) teritorijas, suplanuojant nuoseklų žalių erdvių ir pėsčiųjų takų tinklą, užtikrinant tvarų judėjimą, monofunkciškumo mažinimą ir skatinti naujų būsto tipologijų atsiradimą</t>
  </si>
  <si>
    <t>Atnaujintų mikrorajonų bendrojo naudojimo erdvių ir kiemų plotas</t>
  </si>
  <si>
    <t>Renovuotų daugiabučių skaičius</t>
  </si>
  <si>
    <t>Naujų statybos leidimų mikrorajonuose skaičius</t>
  </si>
  <si>
    <t>04-03-11</t>
  </si>
  <si>
    <t>Įgyvendinti Savivaldybės infrastruktūros plėtros rėmimo programą</t>
  </si>
  <si>
    <t>Sukurtų infrastruktūros objektų (pasirašyta savivaldybės infrastruktūros plėtros sutarčių) skaičius</t>
  </si>
  <si>
    <t>05</t>
  </si>
  <si>
    <t>Ekonominės plėtros programa</t>
  </si>
  <si>
    <t>Ekonomikos skyrius; Kultūros skyrius</t>
  </si>
  <si>
    <t>05-01</t>
  </si>
  <si>
    <t>Pagerinti investicijų pritraukimo ir verslo plėtros sąlygas</t>
  </si>
  <si>
    <t>Tiesioginės užsienio investicijos (TUI), tenkančios 1 gyv.</t>
  </si>
  <si>
    <t>Registruotų bedarbių ir darbingo amžiaus gyventojų santykis</t>
  </si>
  <si>
    <t>Veikiančių įmonių metų pradžioje skaičius, tenkantis 1 tūkst. gyv.</t>
  </si>
  <si>
    <t>05-01-01</t>
  </si>
  <si>
    <t>Skatinti smulkiojo ir vidutinio verslo subjektus</t>
  </si>
  <si>
    <t>Įgyvendintų skatinimo priemonių skaičius</t>
  </si>
  <si>
    <t>05-01-02</t>
  </si>
  <si>
    <t>Įgyvendinti verslo subjektų mokymo programas</t>
  </si>
  <si>
    <t>Surengtų mokymų skaičius</t>
  </si>
  <si>
    <t>Suorganizuotų verslo sklaidos renginių skaičius</t>
  </si>
  <si>
    <t>Suteiktų konsultacijų trukmė</t>
  </si>
  <si>
    <t>val.</t>
  </si>
  <si>
    <t>05-01-03</t>
  </si>
  <si>
    <t>Įgyvendinti jaunimo verslumo skatinimo programą</t>
  </si>
  <si>
    <t>Konsultuotų asmenų skaičius</t>
  </si>
  <si>
    <t>Suorganizuotų verslumo mokymo ir verslo informacinės sklaidos renginių skaičius</t>
  </si>
  <si>
    <t>05-01-04</t>
  </si>
  <si>
    <t>Įgyvendinti inkubavimo, konsultavimo, mentorystės ir tinklaveikos programų vystymą, skatinant pradedančiųjų smulkiojo ir vidutinio verslo subjektų kūrimąsi ir augimą</t>
  </si>
  <si>
    <t>Smulkiojo ir vidutinio verslo subjektų dalyvavusių projekte skaičius</t>
  </si>
  <si>
    <t>05-01-05</t>
  </si>
  <si>
    <t>Įgyvendinti projektus skatinančius verslų kūrimąsi, vystymąsi, bendradarbiavimą, žinių mainus, inovacijų ir technologijų kūrimą</t>
  </si>
  <si>
    <t>Švietimo skyrius; Ekonomikos skyrius</t>
  </si>
  <si>
    <t>Įgyvendinta INOSTART programa</t>
  </si>
  <si>
    <t>05-01-06</t>
  </si>
  <si>
    <t>Parengti (atnaujinti) investicijų projektus</t>
  </si>
  <si>
    <t>Statybos ir renovacijos skyrius; Viešųjų investicijų skyrius</t>
  </si>
  <si>
    <t>Parengtų, atnaujintų investicijų projektų ir/ar kitų reikiamų dokumentų lėšų pritraukimui skaičius</t>
  </si>
  <si>
    <t>05-01-07</t>
  </si>
  <si>
    <t>Vystyti Šiaulių pramoninio parko ir Šiaulių laisvosios ekonominės zonos infrastruktūrą</t>
  </si>
  <si>
    <t>Miesto ūkio ir aplinkos skyrius; Ekonomikos skyrius; Viešųjų investicijų skyrius</t>
  </si>
  <si>
    <t>Išvalytų sklypų skaičius</t>
  </si>
  <si>
    <t>Krovos aikštelių teritorija pritaikyta muitinės veiklai</t>
  </si>
  <si>
    <t>Baigta tvarkyti geležinkelio turto įvedimo į eksploataciją dokumentacija ir finansiniai srautai</t>
  </si>
  <si>
    <t>Įsigytos krovos aikštelių veiklai reikalingos įrangos skaičius</t>
  </si>
  <si>
    <t>Įgyvendintas elektros galios padidinimo projektas</t>
  </si>
  <si>
    <t>05-01-08</t>
  </si>
  <si>
    <t>Vykdyti Šiaulių Oro uosto plėtrą</t>
  </si>
  <si>
    <t>Miesto ūkio ir aplinkos skyrius; SĮ Šiaulių oro uostas; Ekonomikos skyrius</t>
  </si>
  <si>
    <t>Įvykdytų specialiųjų aviacijos saugumo užtikrinimo įsipareigojimų dalis</t>
  </si>
  <si>
    <t>Įsigytos techninės įrangos skaičius</t>
  </si>
  <si>
    <t>Atliktų angarų griovimo darbų dalis</t>
  </si>
  <si>
    <t>05-01-09</t>
  </si>
  <si>
    <t xml:space="preserve">Sukurti integruotą investuotojų pritraukimo ir aptarnavimo sistemą </t>
  </si>
  <si>
    <t>Suorganizuota renginių skaičius</t>
  </si>
  <si>
    <t>Sukurtų publikacijų, įrašų Lietuvos ir užsienio žiniasklaidos priemonėse skaičius</t>
  </si>
  <si>
    <t>Dalyvauta verslo misijose</t>
  </si>
  <si>
    <t>Sukurtų edukacinių rinkodaros priemonių skaičius</t>
  </si>
  <si>
    <t>Parengtų miesto istorijų, interviu ciklų skaičius</t>
  </si>
  <si>
    <t>Įgyvendinta reklaminė kampanija "Šiauliai - karjeros miestas"</t>
  </si>
  <si>
    <t>Atlikta Šiaulių miesto gyventojų, verslininkų, asocijuotų verslo struktūrų, turistų ir kt. apklausa</t>
  </si>
  <si>
    <t>Mokamų užsienio ir nacionaliniuose informacijos kanaluose paviešintų turinio vienetų (straipsnių, reklamų maketų, TV laidų, reportažų ir kt.) skaičius</t>
  </si>
  <si>
    <t>Parengtas ir pristatytas praktinis Šiaulių miesto stiliaus knygos (angl. brand book) paketas verslo asocijuotoms struktūroms</t>
  </si>
  <si>
    <t>Suorganizuotų verslo misijų / vizitų Šiauliuose ir užsienyje, užsienio ir šalies tikslinėms auditorijoms, skaičius</t>
  </si>
  <si>
    <t>05-01-10</t>
  </si>
  <si>
    <t>Pritraukti ir išlaikyti specialistus, emigravusius šiauliečius į Šiaulių miestą</t>
  </si>
  <si>
    <t>Vicemeras; Ekonomikos skyrius</t>
  </si>
  <si>
    <t>Pritrauktų ir išlaikytų aukštos kvalifikacijos specialistų skaičius</t>
  </si>
  <si>
    <t>Šiaulių miesto ambasadorių užsienyje skaičius</t>
  </si>
  <si>
    <t>Suorganizuotų nuotolinių ir fizinių susitikimų su Šiaulių miesto diasporos atstovais skaičius</t>
  </si>
  <si>
    <t>Internetinių svetainių "Globalūs Šiauliai" ir www.karjerasiauliuose.lt lankytojų skaičius</t>
  </si>
  <si>
    <t>05-01-11</t>
  </si>
  <si>
    <t>Kompensuoti jaunoms šeimoms dalį išlaidų įsigyjant pirmą būstą</t>
  </si>
  <si>
    <t>Šeimų gavusių kompensacijas skaičius</t>
  </si>
  <si>
    <t>05-02</t>
  </si>
  <si>
    <t>Stiprinti miesto patrauklumą plėtojant turizmo sektorių</t>
  </si>
  <si>
    <t>Turistų informacijos centro lankytojų ir interneto svetainių, socialinių tinklų vartotojų skaičius</t>
  </si>
  <si>
    <t>Vietų skaičius apgyvendinimo įstaigose</t>
  </si>
  <si>
    <t>Teigiamai Šiaulių miesto įvaizdį vertinančių miesto svečių dalis (apklausa vykdoma kas 2 m.)</t>
  </si>
  <si>
    <t xml:space="preserve">05-02-01 </t>
  </si>
  <si>
    <t>Užtikrinti turizmo informacijos centro veiklą</t>
  </si>
  <si>
    <t>Kultūros skyrius; Šiaulių turizmo informacijos centras</t>
  </si>
  <si>
    <t>Sukurtų naujų ekskursijų maršrutų skaičius</t>
  </si>
  <si>
    <t>Šiaulių turizmo informacijos centro ir „Baltų kelio“ centro lankytojų</t>
  </si>
  <si>
    <t>Sukurtų naujų bendrų, mišraus pobūdžio (privačių ir viešųjų turizmo paslaugų tiekėjų) teikiamų turizmo paslaugų skaičius</t>
  </si>
  <si>
    <t>05-02-02</t>
  </si>
  <si>
    <t>Įgyvendinti projektą "Viešojo sektoriaus specialistų gebėjimų stiprinimą, siekiant gerinti teikiamų paslaugų kokybę Šiaulių miesto savivaldybės ir Bauskės rajono savivaldybės turizmo institucijose"</t>
  </si>
  <si>
    <t>Šiaulių turizmo informacijos centras</t>
  </si>
  <si>
    <t>Įgyvendintų projekto veiklų dalis</t>
  </si>
  <si>
    <t>05-02-03</t>
  </si>
  <si>
    <t>Gerinti turizmo informacinę infrastruktūrą</t>
  </si>
  <si>
    <t>Miesto ūkio ir aplinkos skyrius; Kultūros skyrius; Architektūros skyrius; Šiaulių turizmo informacijos centras</t>
  </si>
  <si>
    <t>Informacinių ženklų, stendų, stulpų, nuorodų, infoterminalų ir kt. atnaujinimas</t>
  </si>
  <si>
    <t>05-02-04</t>
  </si>
  <si>
    <t xml:space="preserve">Įgyvendinti miesto turizmo rinkodaros ir komunikacijos priemones </t>
  </si>
  <si>
    <t>Suorganizuotų tarpdisciplininių renginių priemonių apie miestą / parengtų ir (ar) išleistų  pranešimų/straipsnių skaičius</t>
  </si>
  <si>
    <t>Įrašų per nuomonės formuotojus, žurnalistus, tinklaraštininkus skaičius socialiniuose tinkluose</t>
  </si>
  <si>
    <t>Tarptautinių ir nacionalinių turizmo, studijų, kultūros, mokslo ir pan. parodų, švenčių, verslo misijų ir kt. renginių, kuriuose pristatytos Šiaulių miesto galimybės, skaičius</t>
  </si>
  <si>
    <t>Turistinių informacinių ir reprezentacinių leidinių lietuvių ir užsienio kalbomis (popieriniai ir skaitmeniniai) skaičius</t>
  </si>
  <si>
    <t>Parengtas miesto istorijų, sėkmės istorijų ir pan. ciklų (interviu, tinklalaidės, akcijos, fotoreportažų ir pan.) skaičius</t>
  </si>
  <si>
    <t>Sukurtų edukacinių, rinkodarinių priemonių (animaciniai filmukai, žaidimai, komiksai, piešinių konkursai ir kt.) skaičius</t>
  </si>
  <si>
    <t>Įsigytos reprezentacinės aprangos, suvenyrų-dovanų ir priemonių komplektų kiekis</t>
  </si>
  <si>
    <t>Suorganizuotų informacinių – pažintinių turų Lietuvos ir užsienio žiniasklaidos atstovams, turizmo sektoriaus specialistams skaičius</t>
  </si>
  <si>
    <t>05-02-06</t>
  </si>
  <si>
    <t>Plėtoti ir stiprinti prioritetines Šiaulių miesto ir regiono turizmo rūšis</t>
  </si>
  <si>
    <t>Įvykdytų tarptautinio kultūros kelio "Baltų kelias" ir kitų kultūros ir turistinių kelių plėtros rinkodarinių/komunikacinių ir kt. veiklų skaičius</t>
  </si>
  <si>
    <t>Vystomų prioritetinių turizmo rūšių skaičius</t>
  </si>
  <si>
    <t>Įgyvendintų religinio turizmo skatinimo programų</t>
  </si>
  <si>
    <t>Įgyvendinti projektą „Pajausk istorinį skonį“</t>
  </si>
  <si>
    <t>Kultūros kelių, pradėtų vystyti Šiaulių mieste / regione („Baltų kelias“ ir kitų kultūros, turistinių kelių) maršrutų, rinkodaros, komunikacijos ir kitų veiklų skaičius</t>
  </si>
  <si>
    <t>Įvykdytų vietos ir užsienio turistų pasitenkinimo tyrimų skaičius</t>
  </si>
  <si>
    <t>05-02-09</t>
  </si>
  <si>
    <t>Įgyvendinti projektą „Didinti Lietuvos ir Lenkijos pasienio regiono patrauklumą, bendradarbiaujant per sieną ir tausiai naudojant baltų kultūros paveldą, sukuriant tarptautinį kultūros maršrutą „Baltų kelias“ (santr. Balts road LT-PL)“</t>
  </si>
  <si>
    <t>Įgyvendinta projekto veiklų</t>
  </si>
  <si>
    <t>05-03</t>
  </si>
  <si>
    <t>Didinti Šiaulių miesto žinomumą ir teigiamą įvaizdį, stiprinant miesto identitetą ir rinkodarą</t>
  </si>
  <si>
    <t>Bendras svetainės „www.siauliai.lt” aktyvių vartotojų skaičius</t>
  </si>
  <si>
    <t>Savivaldybės administracijos paskyrų  „Facebook” / „Instagram” socialiniuose tinkluose stebėtojų skaičius</t>
  </si>
  <si>
    <t>Savivaldybės administracijos „YouTube” kanalo prenumeratorių skaičius</t>
  </si>
  <si>
    <t>Teigiamai Šiaulių miesto įvaizdį vertinančių studentų, verslo atstovų, miesto svečių ir gyventojų dalis (apklausa vykdoma kas 2 m.)</t>
  </si>
  <si>
    <t>05-03-01</t>
  </si>
  <si>
    <t>Padidinti Šiaulių matomumą tarptautiniuose informacijos sklaidos kanaluose</t>
  </si>
  <si>
    <t>Vicemeras; Vyriausiasis specialistas (tarptautinių ryšių koordinatorius)</t>
  </si>
  <si>
    <t>Mokamų užsienio informacijos kanaluose paviešintų turinio vienetų (straipsnių, reklamų maketų, TV laidų, reportažų ir kt.) skaičius</t>
  </si>
  <si>
    <t>Tarptautinių tinklų, asocijuotų struktūrų į kurių veiklą įsitraukusi Šiaulių miesto savivaldybė, skaičius</t>
  </si>
  <si>
    <t>Tarptautinių standartų, indeksų, pagal kuriuos vertinama Šiaulių miesto savivaldybė, skaičius</t>
  </si>
  <si>
    <t>05-03-02</t>
  </si>
  <si>
    <t>Stiprinti Šiaulių miesto lyderystę regiono ir šalies mastu</t>
  </si>
  <si>
    <t>Vicemeras; Ekonomikos skyrius; Vyriausiasis specialistas (tarptautinių ryšių koordinatorius)</t>
  </si>
  <si>
    <t>Nacionalinių tinklų, asocijuotų struktūrų, į kurių veiklą įsitraukusi Šiaulių miesto savivaldybė, skaičius</t>
  </si>
  <si>
    <t>Užtikrintas reprezentacinių prekių įsigijimas</t>
  </si>
  <si>
    <t>Mokamų šalies informacijos kanaluose paviešintų turinio vienetų (straipsnių, reklamų maketų, TV laidų, reportažų ir kt.) skaičius</t>
  </si>
  <si>
    <t>Įgyvendintų viešinimo kampanijų skaičius</t>
  </si>
  <si>
    <t>Įkurtas už miesto komunikaciją ir rinkodarą atsakingas padalinys / institucija ar kitas alternatyvus organas</t>
  </si>
  <si>
    <t>Parengta miesto identiteto, rinkodaros ir turizmo strategija</t>
  </si>
  <si>
    <t>Sukurtas miestą reprezentuojantis vaizdo filmas</t>
  </si>
  <si>
    <t>06</t>
  </si>
  <si>
    <t>Socialinės apsaugos programa</t>
  </si>
  <si>
    <t>Socialinių paslaugų skyrius; Socialinių išmokų ir kompensacijų skyrius</t>
  </si>
  <si>
    <t>06-01</t>
  </si>
  <si>
    <t>Užtikrinti nuoseklų ir efektyvų socialinių paslaugų teikimą</t>
  </si>
  <si>
    <t>Teikiamų socialinių paslaugų rūšių (bendrųjų socialinių paslaugų, socialinės priežiūros paslaugų, socialinės globos paslaugų) skaičius</t>
  </si>
  <si>
    <t>06-01-01</t>
  </si>
  <si>
    <t>Užtikrinti socialinių paslaugų įstaigų veiklą</t>
  </si>
  <si>
    <t>Socialinių paslaugų skyrius; Šiaulių miesto savivaldybės socialinių paslaugų centras; Šiaulių miesto šeimos centras; Šiaulių miesto savivaldybės globos namai; Kompleksinių paslaugų namai ,,Alka"</t>
  </si>
  <si>
    <t>Socialinių paslaugų centre teikiamų paslaugų rūšių skaičius</t>
  </si>
  <si>
    <t>Socialinių paslaugų centre aptarnautų asmenų (šeimų) skaičius</t>
  </si>
  <si>
    <t>Globos namuose teikiamų paslaugų rūšių skaičius</t>
  </si>
  <si>
    <t>Globos namuose aptarnautų asmenų skaičius</t>
  </si>
  <si>
    <t>Kompleksinių paslaugų namuose "Alka" teikiamų paslaugų rūšių skaičius</t>
  </si>
  <si>
    <t>Kompleksinių paslaugų namuose "Alka" paslaugų gavėjų skaičius</t>
  </si>
  <si>
    <t>Šeimos centre teikiamų paslaugų rūšių skaičius</t>
  </si>
  <si>
    <t>Šeimos centre paslaugų gavėjų skaičius</t>
  </si>
  <si>
    <t>Įstaigose įgyvendinamų projektų skaičius</t>
  </si>
  <si>
    <t>06-01-02</t>
  </si>
  <si>
    <t>Užtikrinti Globos centrų veiklą</t>
  </si>
  <si>
    <t>Budinčių globotojų skaičius</t>
  </si>
  <si>
    <t>Globos centrų skaičius</t>
  </si>
  <si>
    <t>GIMK mokymus baigusių asmenų skaičius</t>
  </si>
  <si>
    <t>Globėjų (rūpintojų) skaičius</t>
  </si>
  <si>
    <t>06-01-03</t>
  </si>
  <si>
    <t>Plėtoti socialinės globos paslaugas asmens namuose ir institucijoje</t>
  </si>
  <si>
    <t>Teikiamų paslaugų rūšių skaičius</t>
  </si>
  <si>
    <t>Asmenų, gaunančių laikino atokvėpio paslaugas, skaičius</t>
  </si>
  <si>
    <t>Dienos socialinės globos paslaugas institucijoje gaunančių asmenų skaičius</t>
  </si>
  <si>
    <t>Ilgalaikės ir trumpalaikės globos paslaugų gavėjai su sunkia negalia (unikalūs) skaičius</t>
  </si>
  <si>
    <t>Ilgalaikės ir trumpalaikės globos paslaugų gavėjai su negalia (unikalūs) skaičius</t>
  </si>
  <si>
    <t>Dienos socialinės globos paslaugų asmens namuose gavėjų su sunkia negalia (unikalūs) skaičius</t>
  </si>
  <si>
    <t>06-01-04</t>
  </si>
  <si>
    <t>Plėtoti prevencines socialines paslaugas, siekiant padėti asmenims (šeimoms) išvengti galimų socialinių problemų ir /ar socialinės rizikos atsiradimo ir sudaryti sąlygas asmeniui (šeimai) stiprinti gebėjimus savarankiškai spręsti socialines problemas</t>
  </si>
  <si>
    <t>Socialinių paslaugų skyrius; Šiaulių miesto savivaldybės socialinių paslaugų centras</t>
  </si>
  <si>
    <t>Į darbo rinką integruotų darbo rinkai besirengiančio asmens statusą turinčių asmenų (ilgalaikių bedarbių) dalis nuo visų darbo rinkai besirengiančių ilgalaikių bedarbių</t>
  </si>
  <si>
    <t>Nukentėjusiems asmenims, kurie patyrė smurtą artimoje aplinkoje, patyčias, išgyvena krizę ir moterims bei mergaitėms patyrusioms prievartą, suteiktų socialinių paslaugų skaičius</t>
  </si>
  <si>
    <t>Smurto artimoje aplinkoje pavojų keliančių asmenų, savanoriškai dalyvaujančių Smurtinio elgesio artimoje aplinkoje keitimo programoje, skaičius</t>
  </si>
  <si>
    <t>Jaunuolių, gaunančių paslaugas atvirame jaunimo centre ar atviroje jaunimo erdvėje, skaičius</t>
  </si>
  <si>
    <t>06-01-05</t>
  </si>
  <si>
    <t>Įgyvendinti Būsto pritaikymo asmenims turintiems negalią programą</t>
  </si>
  <si>
    <t>Statybos ir renovacijos skyrius; Socialinių paslaugų skyrius; Šiaulių miesto savivaldybės socialinių paslaugų centras</t>
  </si>
  <si>
    <t>Pritaikytų būstų dalis nuo visų gautų paraiškų nustatytam laikotarpiui</t>
  </si>
  <si>
    <t>06-01-06</t>
  </si>
  <si>
    <t>Didinti socialinių paslaugų prieinamumą</t>
  </si>
  <si>
    <t>Suteikta asmeninės pagalbos paslaugų asmenims su negalia dalis nuo pateiktų prašymų</t>
  </si>
  <si>
    <t>Suteikta palydėjimo jaunuoliams paslaugų dalis nuo pateiktų prašymų</t>
  </si>
  <si>
    <t>Suteikta intensyvios krizių įveikimo pagalbos paslaugų dalis nuo pateiktų prašymų</t>
  </si>
  <si>
    <t>Patenkintų prašymų pagalbos į namus paslaugai gauti dalis nuo visų pateiktų asmenų prašymų</t>
  </si>
  <si>
    <t>Socialines paslaugas pradėję gauti asmenys (grupinio gyvenimo  namuose / apgyvendinimo apsaugotame būste / socialinėse dirbtuvėse)</t>
  </si>
  <si>
    <t>Patenkintų prašymų apsaugoto būsto, socialinės globos paslaugoms grupinio gyvenimo namuose ir socialinėse dirbtuvėse gauti dalis nuo visų pateiktų prašymų</t>
  </si>
  <si>
    <t>Suteikta socialinės reabilitacijos paslaugų bendruomenėje dalis nuo gautų prašymų</t>
  </si>
  <si>
    <t>Vaikų, gaunančių socialinės priežiūros paslaugas vaikų dienos centruose, skaičius</t>
  </si>
  <si>
    <t>Vaikų su negalia dalis nuo visų vaikų dienos centrus lankančių vaikų</t>
  </si>
  <si>
    <t>Pritrauktų reikiamos kvalifikacijos socialinės srities specialistų skaičius</t>
  </si>
  <si>
    <t>Partnerysčių ir (ar) bendradarbiavimo sutarčių su socialinės srities specialistus rengiančiomis mokymo įstaigomis skaičius</t>
  </si>
  <si>
    <t>06-01-07</t>
  </si>
  <si>
    <t>Plėtoti neinstitucinės globos paslaugas vaikams</t>
  </si>
  <si>
    <t>Globėjų, globojančių vaikus skaičius</t>
  </si>
  <si>
    <t>Globojamų vaikų skaičius</t>
  </si>
  <si>
    <t>Šeimynų, globojančių vaikus skaičius</t>
  </si>
  <si>
    <t>Budinčių globotojų globojamų vaikų, likusių be tėvų globos šeimoje, skaičius</t>
  </si>
  <si>
    <t>Nuolatinių globotojų, globojančių vaikus, likusius be tėvų globos šeimoje, kuriems užtikrintas emocinis ir fizinis saugumas bei visavertis, poreikius atitinkantis ugdymas ir priežiūra, skaičius</t>
  </si>
  <si>
    <t>06-01-09</t>
  </si>
  <si>
    <t>Užtikrinti kraitelio skyrimą šeimoms, susilaukusioms kūdikio</t>
  </si>
  <si>
    <t>Socialinių paslaugų skyrius; Civilinės metrikacijos skyrius</t>
  </si>
  <si>
    <t>Nupirktų kraitelių skaičius</t>
  </si>
  <si>
    <t>Kūdikiams įteiktų kraitelių dalis nuo visų per metus gimusių kūdikių</t>
  </si>
  <si>
    <t>06-01-10</t>
  </si>
  <si>
    <t>Įgyvendinti projektą „Kompleksinės paslaugos šeimai Šiaulių miesto savivaldybėje"</t>
  </si>
  <si>
    <t>Paslaugų gavėjų skaičius</t>
  </si>
  <si>
    <t>Bendruomeninių šeimos namų darbuotojų, organizuojančių kompleksinių paslaugų teikimą šeimai, skaičius</t>
  </si>
  <si>
    <t>06-01-11</t>
  </si>
  <si>
    <t>Įgyvendinti projektą ,,Socialinės įtraukties ir įgalinimo stiprinimas pažeidžiamoms grupėms per integruotą ir kūrybingą metodiką“</t>
  </si>
  <si>
    <t>Pateikta paraiška finansavimui gauti</t>
  </si>
  <si>
    <t>06-01-12</t>
  </si>
  <si>
    <t>Įgyvendinti materialinio nepritekliaus mažinimo programą</t>
  </si>
  <si>
    <t>Šeimų, gaunančių paramą, skaičius</t>
  </si>
  <si>
    <t>06-01-13</t>
  </si>
  <si>
    <t>Įgyvendinti projektą „Perėjimas nuo institucinės globos prie bendruomeninių paslaugų Sostinės regione Vidurio ir vakarų Lietuvos regione"</t>
  </si>
  <si>
    <t>Socialinių paslaugų skyrius; Viešųjų investicijų skyrius</t>
  </si>
  <si>
    <t>Pasirašytų sutikimų dalyvauti atvejo vadybos modelio taikyme su asmenims, turinčiais psichikos ir (ar) intelekto negalią, skaičius</t>
  </si>
  <si>
    <t>Inicijuotų atvejo vadybos modelio taikymo atvejų skaičius</t>
  </si>
  <si>
    <t>Partnerių, vykdančių socialinių įgūdžių ugdymo, palaikymo ir (ar) atkūrimo (socialinių dirbtuvių) veiklą, skaičius</t>
  </si>
  <si>
    <t>Socialinių dirbtuvių veikloje dalyvaujančių asmenų, turinčių psichikos ir (ar) intelekto negalią, skaičius</t>
  </si>
  <si>
    <t>06-02</t>
  </si>
  <si>
    <t>Užtikrinti socialinių paslaugų prieinamumą ir kokybę, plečiant, atnaujinant ir modernizuojant socialinių paslaugų infrastruktūrą</t>
  </si>
  <si>
    <t>Socialinių įstaigų pastatų skaičius</t>
  </si>
  <si>
    <t>Asmenų ir šeimų, laukiančių socialinio būsto nuomos, laukimo laikas</t>
  </si>
  <si>
    <t>metai</t>
  </si>
  <si>
    <t>Socialinių įstaigų pastatų, kurie yra geros būklės, skaičius</t>
  </si>
  <si>
    <t>06-02-02</t>
  </si>
  <si>
    <t>Šeimoje ir bendruomenėje teikiamų paslaugų, asmenims su proto ir intelekto negalia, plėtra</t>
  </si>
  <si>
    <t>Statybos ir renovacijos skyrius; Socialinių paslaugų skyrius; Viešųjų investicijų skyrius</t>
  </si>
  <si>
    <t>Įsigytų apsaugotų būstų skaičius</t>
  </si>
  <si>
    <t>Socialinių dirbtuvių skaičius</t>
  </si>
  <si>
    <t>Pastatytų grupinio gyvenimo namų skaičius</t>
  </si>
  <si>
    <t>06-02-04</t>
  </si>
  <si>
    <t>Didinti socialinio būsto prieinamumą</t>
  </si>
  <si>
    <t>Naujai įsigyto socialinio būsto apimtys</t>
  </si>
  <si>
    <t>Asmenų (šeimų), laukiančių socialinio būsto, skaičius metų pabaigoje</t>
  </si>
  <si>
    <t>06-02-05</t>
  </si>
  <si>
    <t>Įgyvendinti projektą „Socialinio būsto fondo plėtra Šiaulių miesto savivaldybėje"</t>
  </si>
  <si>
    <t>Turto valdymo skyrius; Viešųjų investicijų skyrius</t>
  </si>
  <si>
    <t>Nupirktų būstų</t>
  </si>
  <si>
    <t>06-02-06</t>
  </si>
  <si>
    <t>Rekonstruoti Šiaulių miesto savivaldybės socialinių paslaugų centro Paramos tarnybos pastatą (Stoties g.)</t>
  </si>
  <si>
    <t>06-02-07</t>
  </si>
  <si>
    <t>Pastatyti (pritaikyti pastatą) nakvynės namų ir apgyvendinimo paslaugoms teikti</t>
  </si>
  <si>
    <t>06-03</t>
  </si>
  <si>
    <t>Užtikrinti valstybės garantuotos piniginės socialinės paramos teikimą</t>
  </si>
  <si>
    <t>Piniginės socialinės paramos gavėjų dalis nuo bendro Šiaulių miesto gyventojų skaičiaus</t>
  </si>
  <si>
    <t>06-03-01</t>
  </si>
  <si>
    <t>Skirti ir išmokėti išmokas ir kompensacijas</t>
  </si>
  <si>
    <t>Socialinių išmokų ir kompensacijų gavėjų skaičius</t>
  </si>
  <si>
    <t>Laidojimo pašalpų gavėjų skaičius</t>
  </si>
  <si>
    <t>06-03-02</t>
  </si>
  <si>
    <t>Skirti ir išmokėti išmokas vaikams</t>
  </si>
  <si>
    <t>Išmokų gavėjų skaičius</t>
  </si>
  <si>
    <t>Patvirtintų pareigybių skaičius</t>
  </si>
  <si>
    <t>06-03-03</t>
  </si>
  <si>
    <t>Skirti ir išmokėti tikslines kompensacijas</t>
  </si>
  <si>
    <t>06-03-04</t>
  </si>
  <si>
    <t>Skirti kompensacijas nepriklausomybės gynėjams nukentėjusiems nuo 1991 m. sausio 11-13 d. ir po to vykdytos SSRS agresijos</t>
  </si>
  <si>
    <t>06-03-05</t>
  </si>
  <si>
    <t>Skirti kitas išmokas</t>
  </si>
  <si>
    <t>06-03-06</t>
  </si>
  <si>
    <t>Skirti socialinę paramą moksleiviams</t>
  </si>
  <si>
    <t>06-03-07</t>
  </si>
  <si>
    <t>Įgyvendinti vystomojo bendradarbiavimo veiklą ir teikti humanitarinę pagalbą</t>
  </si>
  <si>
    <t>Suteikta pagalba (parama) šaliai, kurioje įvesta nepaprastoji padėtis ir (ar) karo padėtis</t>
  </si>
  <si>
    <t>07</t>
  </si>
  <si>
    <t>Sporto programa</t>
  </si>
  <si>
    <t>Sporto skyrius</t>
  </si>
  <si>
    <t>07-01</t>
  </si>
  <si>
    <t>Skatinti gyventojų fizinio aktyvumo veiklas ir plėtoti aukšto meistriškumo sportininkų rengimo sistemą</t>
  </si>
  <si>
    <t>Sportuojančiųjų sporto klubuose ir sportininkų rengimo centruose dalis nuo gyventojų skaičiaus</t>
  </si>
  <si>
    <t>Europos ir pasaulio suaugusiųjų čempionatų olimpinių sporto šakų 1-3 v. laimėtojai</t>
  </si>
  <si>
    <t>07-01-01</t>
  </si>
  <si>
    <t>Užtikrinti sporto įstaigų veiklą</t>
  </si>
  <si>
    <t>Užtikrintas sportininkų medicininis aptarnavimas Šiaulių lengvosios atletikos ir sveikatingumo centre, gydytojų skaičius</t>
  </si>
  <si>
    <t>Rinktinės narių (suaugusiųjų amžiaus grupėje)</t>
  </si>
  <si>
    <t>Rinktinės narių (jaunučių, jaunių, jaunimo amžiaus grupėse)</t>
  </si>
  <si>
    <t>Užtikrintas sportininkų medicininis aptarnavimas Šiaulių lengvosios atletikos ir sveikatingumo centre, kitų medicinos darbuotojų skaičius</t>
  </si>
  <si>
    <t>07-01-02</t>
  </si>
  <si>
    <t>Užtikrinti sportininkų rengimo centrų veiklą</t>
  </si>
  <si>
    <t>Sporto skyrius; Sportininkų rengimo centrai</t>
  </si>
  <si>
    <t>Komandų, dalyvaujančių LFF A, I ir II lygos varžybose</t>
  </si>
  <si>
    <t>Futbolo plėtros programoje rengiamų sportininkų</t>
  </si>
  <si>
    <t>Komandų, dalyvaujančių Regiono lygos varžybose</t>
  </si>
  <si>
    <t>Krepšinio plėtros programoje rengiamų sportininkų</t>
  </si>
  <si>
    <t>07-01-03</t>
  </si>
  <si>
    <t>Vykdyti miesto, apskrities, šalies ir tarptautinius sporto renginius bei pasirengti ir dalyvauti šalies ir tarptautinėse varžybose (Baltijos, Europos ir pasaulio čempionato varžybos, kompleksiniai renginiai ir kt.)</t>
  </si>
  <si>
    <t>Šalies sporto šakų čempionatuose, taurės varžybose (suaugusiųjų amžiaus grupėje) laimėta 1–3 vietų</t>
  </si>
  <si>
    <t>Šalies sporto šakų čempionatuose, taurės varžybose (jaunučių, jaunių, jaunimo amžiaus grupėse) laimėta 1–3 vietų</t>
  </si>
  <si>
    <t>Europos čempionate iškovotų 1–6 vietų ir pasaulio čempionate, taurės varžybose (suaugusiųjų amžiaus grupėje) iškovotų 1–10 vietų</t>
  </si>
  <si>
    <t>Europos čempionate iškovotų 1–6 vietų ir pasaulio čempionate, taurės varžybose (jaunučių, jaunių, jaunimo amžiaus grupėse) iškovotų 1–10 vietų</t>
  </si>
  <si>
    <t>Perspektyviausių jaunimo ir suaugusiųjų Šiaulių miesto sportininkų skaičius</t>
  </si>
  <si>
    <t>Organizuotoje aukšto meistriškumo sporto veikloje dalyvaujančių žmonių su negalia skaičius</t>
  </si>
  <si>
    <t>Rinktinės narių (jaunių, jaunimo amžiaus grupėse)</t>
  </si>
  <si>
    <t>Surengtų sporto renginių</t>
  </si>
  <si>
    <t>07-01-04</t>
  </si>
  <si>
    <t>Pasirengti ir dalyvauti Lietuvos čempionato ir sporto šakų federacijų taurės, Baltijos lygos ir taurės laimėtojų, Europos taurės ir kitose oficialiose varžybose (žaidimų komandų jaunimo ir suaugusiųjų amžiaus grupė)</t>
  </si>
  <si>
    <t>Komandų, dalyvaujančių šalies varžybose</t>
  </si>
  <si>
    <t>Lietuvos čempionatuose laimėtų 1–3 vietų (suaugusiųjų žaidimų komandos) skaičius</t>
  </si>
  <si>
    <t>Komandų, dalyvaujančių tarptautinėse varžybose</t>
  </si>
  <si>
    <t>Tarptautinėse varžybose laimėta 1–3 vietų</t>
  </si>
  <si>
    <t>Rinktinės narių (jaunimo amžiaus grupėje)</t>
  </si>
  <si>
    <t>07-01-05</t>
  </si>
  <si>
    <t>Įgyvendinti Šiaulių miesto reprezentacinių renginių programą</t>
  </si>
  <si>
    <t>Sporto skyrius; Šiaulių miesto sporto organizacijos</t>
  </si>
  <si>
    <t>Surengtų miestą reprezentuojančių sporto renginių (tame tarpe Europos ir pasaulio čempionatų, taurės varžybų)</t>
  </si>
  <si>
    <t>Surengtų sporto renginių dalyvių</t>
  </si>
  <si>
    <t>07-01-06</t>
  </si>
  <si>
    <t>Skatinti sportininkus ir trenerius laimėjusius aukštas vietas tarptautinės varžybose</t>
  </si>
  <si>
    <t>Paskatinta aukšto meistriškumo sportininkų</t>
  </si>
  <si>
    <t>Premijų (stipendijų), skirtų sportininkams</t>
  </si>
  <si>
    <t>Paskatinta aukšto meistriškumo sportininkų trenerių</t>
  </si>
  <si>
    <t>07-01-07</t>
  </si>
  <si>
    <t>Kompensuoti tėvų atlyginimą už teikiamas sportinio rengimo paslaugas sporto įstaigose ir sportininkų rengimo centruose</t>
  </si>
  <si>
    <t>Atlyginimo lengvatą už teikiamas sportinio rengimo paslaugas gaunančių asmenų</t>
  </si>
  <si>
    <t>07-01-08</t>
  </si>
  <si>
    <t>Skatinti savarankišką fizinį aktyvumą įvairiose gyventojų grupėse</t>
  </si>
  <si>
    <t>Savivaldybės administracijos dalinai finansuojamų organizuotų fizinio aktyvumo užsiėmimų dalyvių dalis nuo bendro Šiaulių m. gyventojų skaičiaus</t>
  </si>
  <si>
    <t>Savivaldybės administracijos dalinai finansuojamų organizuotų fizinio aktyvumo veiklose dalyvavusių negalią turinčių asmenų skaičius</t>
  </si>
  <si>
    <t>Atliktas pilotinis tyrimas dėl Savivaldybės švietimo įstaigų uždaros sporto infrastruktūros atvėrimo bendruomenės sporto ir fizinio aktyvumo poreikiams tenkinti</t>
  </si>
  <si>
    <t>07-01-09</t>
  </si>
  <si>
    <t>Mokyti vaikus plaukti ir saugiai elgtis vandenyje ir prie vandens</t>
  </si>
  <si>
    <t>Sporto skyrius; Šiaulių plaukimo centras ,,Delfinas"</t>
  </si>
  <si>
    <t>Išmokytų plaukti vaikų dalis nuo bendro 1–4 klasių mokinių skaičiaus Šiaulių miesto bendrojo ugdymo mokyklose</t>
  </si>
  <si>
    <t>07-02</t>
  </si>
  <si>
    <t>Išvystyti gyventojų poreikius atitinkančią sporto ir fizinio aktyvumo infrastruktūrą</t>
  </si>
  <si>
    <t>Savivaldybės sporto įstaigų pastatų / statinių, bazių skaičiaus</t>
  </si>
  <si>
    <t>Savivaldybės sporto įstaigų pastatų / statinių, bazių, kurios yra geros būklės, skaičius</t>
  </si>
  <si>
    <t>Savivaldybės sporto įstaigų pastatų / statinių, bazių, pritaikytų fizinę negalią turintiems asmenims, dalis</t>
  </si>
  <si>
    <t>07-02-01</t>
  </si>
  <si>
    <t>Įgyvendinti projektą „Bendrojo ugdymo, neformaliojo ugdymo ir kitų viešųjų paslaugų teikimui trūkstamos infrastruktūros sukūrimas, adresu J. Jablonskio g. 14, Šiauliai“</t>
  </si>
  <si>
    <t>Statybos ir renovacijos skyrius; Sporto skyrius; Viešųjų investicijų skyrius; Architektūros skyrius</t>
  </si>
  <si>
    <t>Atlikta darbų</t>
  </si>
  <si>
    <t>Įsigytas baldų ir kitas inventorius</t>
  </si>
  <si>
    <t>07-02-02</t>
  </si>
  <si>
    <t>Pastatyti irklavimo sporto bazę (Žvyro g. 34)</t>
  </si>
  <si>
    <t>Statybos ir renovacijos skyrius; Sporto skyrius</t>
  </si>
  <si>
    <t>Atlikta II etapo statybos darbų</t>
  </si>
  <si>
    <t>07-02-03</t>
  </si>
  <si>
    <t>Suprojektuoti ir pastatyti buriavimo elingą prie Rėkyvos ežero (Poilsio g. 10A)</t>
  </si>
  <si>
    <t>Statybos ir renovacijos skyrius; Sporto skyrius; Architektūros skyrius</t>
  </si>
  <si>
    <t>07-02-05</t>
  </si>
  <si>
    <t>Didinti Šiaulių teniso akademijos pastato funkcionalumą</t>
  </si>
  <si>
    <t>Sporto skyrius; Šiaulių teniso akademija</t>
  </si>
  <si>
    <t>Parengtas statybos projektas</t>
  </si>
  <si>
    <t>07-02-06</t>
  </si>
  <si>
    <t>Modernizuoti/pastatyti sporto įstaigų pastatus, statinius, bazes</t>
  </si>
  <si>
    <t>Atlikta Šiaulių m. stadiono komplekso (S. Daukanto g. 23) renovacijos darbų</t>
  </si>
  <si>
    <t>Parengtas VŠĮ Šiaulių krepšinio akademijos „Saulė“ pastato statybos projektas</t>
  </si>
  <si>
    <t>07-02-07</t>
  </si>
  <si>
    <t>Atlikti Šiaulių regbio ir žolės riedulio akademijos aikštyno rekonstrukciją</t>
  </si>
  <si>
    <t>08</t>
  </si>
  <si>
    <t>Švietimo programa</t>
  </si>
  <si>
    <t>Švietimo skyrius</t>
  </si>
  <si>
    <t>08-01</t>
  </si>
  <si>
    <t>Plėtoti inovatyvią švietimo sistemą, ugdančią aktyvią ir kūrybingą asmenybę</t>
  </si>
  <si>
    <t>Išlaikiusių brandos egzaminus dalis, nuo laikiusių</t>
  </si>
  <si>
    <t>Įstojusių į aukštąsias mokyklas dalis (asmenys, baigę bendrojo ugdymo mokyklas Šiauliuose) nuo visų, gavusių vidurinį išsilavinimą</t>
  </si>
  <si>
    <t>Pagalbos mokiniui specialistų, tenkančių 100 mokinių, skaičius</t>
  </si>
  <si>
    <t>08-01-01</t>
  </si>
  <si>
    <t>Atstovauti miestui, pristatyti švietimo veiklą, organizuoti renginius</t>
  </si>
  <si>
    <t>Suorganizuotų reprezentacinių renginių skaičius</t>
  </si>
  <si>
    <t>Apdovanotų olimpiadų nugalėtojų skaičius</t>
  </si>
  <si>
    <t>Įteiktų premijų ,,Metų mokytojas“ skaičius</t>
  </si>
  <si>
    <t>Vieną ir daugiau 100 balų įvertinimą gavusių mokinių skaičius</t>
  </si>
  <si>
    <t>Švietimo lyderystės programos dalyvių skaičius</t>
  </si>
  <si>
    <t>Pirmoko krepšelį gavusių mokinių skaičius</t>
  </si>
  <si>
    <t>Šiaulių miestą atstovavusių asmenų, nuvežtų į respublikinius renginius, skaičius</t>
  </si>
  <si>
    <t>08-01-02</t>
  </si>
  <si>
    <t>Užtikrinti skaitmeninę plėtrą bendrojo ugdymo mokyklose</t>
  </si>
  <si>
    <t>Sukurtos skaitmeninės mokymosi aplinkos, naudojamos skaitmeninės mokymo priemonės mokyklose, skaičius</t>
  </si>
  <si>
    <t>08-01-03</t>
  </si>
  <si>
    <t>Užtikrinti švietimo elektroninės apskaitos ir registracijos sistemų funkcionavimą</t>
  </si>
  <si>
    <t>Veikianti priėmimo į bendrojo ugdymo mokyklas sistema</t>
  </si>
  <si>
    <t>Veikianti priėmimo į ikimokyklinio ugdymo įstaigas sistema</t>
  </si>
  <si>
    <t>Veikianti SKU modelio apskaitos sistema</t>
  </si>
  <si>
    <t>Veikianti elektroninio mokinio pažymėjimo sistema</t>
  </si>
  <si>
    <t>08-01-04</t>
  </si>
  <si>
    <t>Didinti STEAM mokslų (mokomųjų dalykų) patrauklumą</t>
  </si>
  <si>
    <t>Mokinių, dalyvaujančių Šiaulių techninės kūrybos centro veiklose, dalis nuo visų mokinių</t>
  </si>
  <si>
    <t>STEAM centrų ikimokyklinio ugdymo įstaigose skaičius</t>
  </si>
  <si>
    <t>Vaikų, dalyvavusių „STEAM DARŽELIS“ centrų veiklose, dalis nuo visų ikimokyklinio amžiaus vaikų</t>
  </si>
  <si>
    <t>STEAM laboratorijų bendrojo ugdymo mokyklose skaičius</t>
  </si>
  <si>
    <t>STEAM ir STEAM JUNIOR programos grupių skaičius</t>
  </si>
  <si>
    <t>STEAM renginių ir varžybų skaičius</t>
  </si>
  <si>
    <t>STEAM+ programų</t>
  </si>
  <si>
    <t>08-01-05</t>
  </si>
  <si>
    <t>Bendradarbiauti su aukštosiomis, profesinėmis ir bendrojo ugdymo mokyklomis, socialiniais-ekonominiais partneriais, ruošiant specialistus</t>
  </si>
  <si>
    <t>Inžinerijos ir informatikos mokslų krypties studijų Šiaulių mieste parama kviestiniams dėstytojams, skatinamųjų stipendijų skaičius</t>
  </si>
  <si>
    <t>Pritaikytų erdvių integruotam gamtos mokslų ugdymui ir Šiaulių miesto bendruomenės švietimui programų skaičius</t>
  </si>
  <si>
    <t>Viešųjų ryšių akcijos priemonių skaičius</t>
  </si>
  <si>
    <t>Studentų, kuriems skirta studijų parama, skaičius</t>
  </si>
  <si>
    <t>Ankstyvojo profesinio informavimo programoje "OPA" dalyvavusių skaičius (pradinių klasių mokiniams)</t>
  </si>
  <si>
    <t>Technologijų pamokų programoje ŠTMC dalyvavusių skaičius</t>
  </si>
  <si>
    <t>Pedagogų, kurie persikvalifikavo ir/ ar įgijo papildomą mokomojo dalyko specializaciją skaičius</t>
  </si>
  <si>
    <t>Įgyvendintų aukštųjų mokyklų bendradarbiavimo programų skaičius</t>
  </si>
  <si>
    <t>08-01-06</t>
  </si>
  <si>
    <t>Tobulinti neformaliojo suaugusiųjų švietimo paslaugų sistemą</t>
  </si>
  <si>
    <t>Įgyvendinamų programų skaičius</t>
  </si>
  <si>
    <t>Asmenų, dalyvavusių Šiaulių miesto savivaldybės neformaliojo suaugusiųjų švietimo modelio įgyvendinime, skaičius</t>
  </si>
  <si>
    <t>08-01-08</t>
  </si>
  <si>
    <t xml:space="preserve">Užtikrinti įtraukiojo ugdymo principinių nuostatų įgyvendinimą visuose švietimo sistemos lygiuose </t>
  </si>
  <si>
    <t>Specialiųjų ugdymosi poreikių turinčių mokinių, kuriems teikiama švietimo pagalba, dalis nuo visų specialiųjų ugdymosi poreikių turinčių mokinių</t>
  </si>
  <si>
    <t>Specialiųjų ugdymo (-si) poreikių turinčių vaikų, dalyvaujančių neformaliajame vaikų švietime, dalis nuo visų vaikų</t>
  </si>
  <si>
    <t>Specialiųjų ugdymosi poreikių turinčių mokinių, ugdomų įtraukiuoju būdu bendros paskirties švietimo įstaigose, dalis nuo visų mokinių</t>
  </si>
  <si>
    <t>08-01-09</t>
  </si>
  <si>
    <t>Įgyvendinti inovatyvius sprendimus, priemones švietimo įstaigose</t>
  </si>
  <si>
    <t>Ikimokyklinio ugdymo įstaigų, dalyvaujančių „Mąstymo mokyklų“ tinklo veiklose, skaičius</t>
  </si>
  <si>
    <t>Ikimokyklinio ugdymo įstaigų, dalyvaujančių „Darnus darželis“ tinklo veiklose, skaičius</t>
  </si>
  <si>
    <t>08-01-10</t>
  </si>
  <si>
    <t>Įgyvendinti projektą „Atvirų klasių sukūrimas Šiaulių Vinco Kudirkos progimnazijoje“</t>
  </si>
  <si>
    <t>Švietimo skyrius; Šiaulių Vinco Kudirkos progimnazija ; Viešųjų investicijų skyrius</t>
  </si>
  <si>
    <t>Mokytojų, dirbantys su mokiniais turinčiais didelių specialių ugdymosi poreikių, skaičius</t>
  </si>
  <si>
    <t>08-01-11</t>
  </si>
  <si>
    <t>Įgyvendinti projektą „Ankstyvojo ugdymo užtikrinimas vaikams iš socialinę riziką patiriančių šeimų“</t>
  </si>
  <si>
    <t>Socialinių paslaugų skyrius; Švietimo skyrius; Viešųjų investicijų skyrius</t>
  </si>
  <si>
    <t>Į ikimokyklinį ugdymą įtrauktų vaikų iš socialinę riziką patiriančių šeimų</t>
  </si>
  <si>
    <t>08-01-12</t>
  </si>
  <si>
    <t>Įgyvendinti projektą „Švietimo įstaigų vadovų mentorių rengimas“</t>
  </si>
  <si>
    <t>Švietimo įstaigų, konsorciumo narių</t>
  </si>
  <si>
    <t>08-01-13</t>
  </si>
  <si>
    <t>Įgyvendinti pedagogų pritraukimo į Šiaulių miesto švietimo įstaigas, perkvalifikavimo ir kvalifikacijos tobulinimo programą</t>
  </si>
  <si>
    <t>Šiaulių miesto savivaldybės „Pedagogų pritraukimo, perkvalifikavimo ir kvalifikacijos tobulinimo strategijos plano priemonėse” dalyvaujančių asmenų skaičius</t>
  </si>
  <si>
    <t>08-02</t>
  </si>
  <si>
    <t>Užtikrinti švietimo paslaugų prieinamumą ir kokybę, gerinant ugdymo (-si) aplinką</t>
  </si>
  <si>
    <t>Ikimokyklinio ugdymo įstaigų pastatų, kurie yra geros būklės, skaičius</t>
  </si>
  <si>
    <t>Ikimokyklinio ugdymo įstaigų pastatų skaičius</t>
  </si>
  <si>
    <t>Bendrojo ugdymo mokyklų pastatų, kurie yra geros būklės, skaičius</t>
  </si>
  <si>
    <t>Bendrojo ugdymo mokyklų pastatų skaičius</t>
  </si>
  <si>
    <t>Neformaliojo švietimo įstaigų pastatų, kurie yra geros būklės, skaičius</t>
  </si>
  <si>
    <t>Neformaliojo švietimo įstaigų pastatų skaičius</t>
  </si>
  <si>
    <t>08-02-01</t>
  </si>
  <si>
    <t>Atnaujinti švietimo įstaigų pastatus, patalpas, įrangą ir komunikacijas</t>
  </si>
  <si>
    <t>Statybos ir renovacijos skyrius; Švietimo skyrius</t>
  </si>
  <si>
    <t>Švietimo įstaigų, atnaujinusių  virtuves ir įrangą, preliminarus skaičius, iš jų: 2025 m. - Medelyno, 2026 m. - V. Kudirkos, „Rasos" progimnazijos, 2027 m. - „Santarvės" gimnazija</t>
  </si>
  <si>
    <t>Įstaigų, kurių pastatams apšiltintos sienos, skaičius, iš jų: 2025 m. - „Dagilėlio" dainavimo mokykla, l/d „Vaikystė", 2026 m. - Jovaro progimnazija, 2027 m. - „Rasos" progimnazijos ikim. ugd. skyrius, „Saulės" pradinė mokykla</t>
  </si>
  <si>
    <t>Kapitalinis  „Sandoros" ir „Juventos" progimnazijų langų remontas</t>
  </si>
  <si>
    <t>Įstaigų, kuriose atliktas vamzdynų ir patalpų remontas, įsigyta įranga, skaičius, iš jų: 2025 m. - lopšeliai-darželiai „Ežerėlis", „Dainelė", „Berželis", „Gluosnis", J. Janonio, Didždvario gimnazijos , 2026 m. l/d „Gluosnis (tęstinis),  „Drugelis" , 2027 m.  -  l/d „Bitė", „Eglutė"</t>
  </si>
  <si>
    <t>Įstaigų, kuriose atliktas elektros instaliacijos remontas, skaičius, iš jų:  2025 m. - l/d ,,Drugelis“, „Berželis", 2026 m. - Lieporių gimnazija, 2027 m. Lieporių gimnazija (tęstinis)</t>
  </si>
  <si>
    <t>Įstaigų, kuriose atnaujinti arba suremontuoti stogai, skaičius, iš jų: 2025 m. - „Dagilėlio“ dainavimo mokykla, J. Janonio gimnazija, 2026 m. - Jovaro progimnazija, 2027 m. -  „Rasos" progimnazija</t>
  </si>
  <si>
    <t>Įstaigų, kuriose atnaujinti arba suremontuoti fasadai ir nuogrindos, skiačius, iš jų: 2025 m. - l/d „Vaikystė", Lieporių gimnazija, Salduvės progimnazija, 2026 m. - Jovaro progimnazija, 2027 m. - „Rasos" progimnazija</t>
  </si>
  <si>
    <t>08-02-02</t>
  </si>
  <si>
    <t>Atnaujinti švietimo įstaigų lauko teritorijas ir įrenginius</t>
  </si>
  <si>
    <t>Miesto ūkio ir aplinkos skyrius; Švietimo skyrius</t>
  </si>
  <si>
    <t>Švietimo įstaigų, kuriose atnaujintos teritorijų dangos ir įvažiavimai, skaičius pagal 2024 m. kovo 27 d. Administracijos direktoriaus įsakymu Nr. A-150  sudarytą eilę.</t>
  </si>
  <si>
    <t>Ikimokyklinio ugdymo įstaigų, kuriose atnaujinta lauko infrastruktūra, įkurtos lauko edukacinės erdvės, skaičius  pagal sutvarkytas teritorijas.</t>
  </si>
  <si>
    <t>Švietimo įstaigų, kuriose atnaujinti lauko įrenginiai ir aptvertos teritorijos, skaičius, iš jų: 2025 m. - Dailės mokykla, 2026 m. - S. Daukanto gimnazija , 2027 m. -  "Romuvos" gimnazija</t>
  </si>
  <si>
    <t>Švietimo įstaigų, kuriose atnaujintas lauko apšvietimas, skaičius, iš jų: 2025 m. - Ragainės, V. Kudirkos progimnazijos, 2026 m. - S. Daukanto inž. gimnazija , 2027 m. - Pabalių l/d</t>
  </si>
  <si>
    <t>08-02-03</t>
  </si>
  <si>
    <t>Atnaujinti švietimo įstaigų sporto infrastruktūrą</t>
  </si>
  <si>
    <t>Įrengta Sporto gimnazijos sporto aikštelė</t>
  </si>
  <si>
    <t>Atliktų St. Šalkauskio gimnazijos sporto aikštyno atnaujinimo rangos darbų dalis</t>
  </si>
  <si>
    <t>Suremontuotų  sporto salių (ir pagalbinių patalpų) švietimo įstaigose skaičius, iš jų: 2025 m. - "Romuvos", "Santarvės" gimnazijos, 2026 m. - l/d "Berželis, 2027 m. - Jaunųjų turistų centras</t>
  </si>
  <si>
    <t>08-02-04</t>
  </si>
  <si>
    <t>Modernizuoti švietimo įstaigų pastatus / statinius</t>
  </si>
  <si>
    <t>Įrengti liftai ir kitas pritaikymas neįgaliesiems švietimo įstaigose (Dailės mokykla, Salduvės, Romuvos, Gytarių, Zoknių progimnazijos)</t>
  </si>
  <si>
    <t>Įdiegta kondicionavimo įranga švietimo įstaigose (J. Janonio , Lieporių , St. Šalkauskio , ŠUG, Santarvės gimn., Gegužių ,  Dainų, Gytarių , „Sandoros", Medelyno prog., Centro pradinė ir kt.)</t>
  </si>
  <si>
    <t>Bendrojo ugdymo įstaigos, kurių patalpoms taikoma „saugios mokyklos"  aplinka („Juventos", Salduvės, „Rasos", Zoknių progimnazijos ir  kt.)</t>
  </si>
  <si>
    <t>08-02-05</t>
  </si>
  <si>
    <t>Užtikrinti švietimo įstaigų pastatų ir vidaus patalpų avarinių situacijų šalinimą</t>
  </si>
  <si>
    <t>Pašalintos vidaus ir išorės pastatų, lauko aplinkos avarinės situacijos švietimo įstaigose</t>
  </si>
  <si>
    <t>08-02-06</t>
  </si>
  <si>
    <t>Įgyvendinti projektą „Šiaulių Sporto gimnazijos (Vilniaus g. 297) modernizavimas“</t>
  </si>
  <si>
    <t>Statybos ir renovacijos skyrius; Švietimo skyrius; Viešųjų investicijų skyrius</t>
  </si>
  <si>
    <t>Atliktų Sporto gimnazijos bendrabučio remonto darbų dalis</t>
  </si>
  <si>
    <t>Atliktų I etapo (vidaus įrengimas) rangos darbų dalis</t>
  </si>
  <si>
    <t>08-02-07</t>
  </si>
  <si>
    <t>Įgyvendinti projektą „Santarvės gimnazijos rekonstravimas“</t>
  </si>
  <si>
    <t>Atliktų planuotų pastato remonto darbų dalis</t>
  </si>
  <si>
    <t>08-02-08</t>
  </si>
  <si>
    <t>Įgyvendinti projektą „Savivaldybės viešųjų pastatų atnaujinimui teikiamų subsidijų panaudojimas“</t>
  </si>
  <si>
    <t>Atnaujintų (modernizuotų) savivaldybės viešųjų pastatų skaičius</t>
  </si>
  <si>
    <t>08-02-09</t>
  </si>
  <si>
    <t>Įgyvendinti projektą „Šiaulių jaunųjų gamtininkų centro jojimo skyriaus modernizavimas, sukuriant tinkamas sąlygas visuomenės sveikatos stiprinimo, neformaliojo švietimo viešųjų paslaugų teikimui, gyventojų poilsio organizavimui“</t>
  </si>
  <si>
    <t>Statybos ir renovacijos skyrius; Švietimo skyrius; Šiaulių jaunųjų gamtininkų centras; Viešųjų investicijų skyrius</t>
  </si>
  <si>
    <t>Atliktų rangos darbų dalis</t>
  </si>
  <si>
    <t>Įsigyta baldų ir kito inventoriaus</t>
  </si>
  <si>
    <t>08-02-10</t>
  </si>
  <si>
    <t>Įgyvendinti projektą „Edukacinių erdvių įrengimas Šiaulių miesto ugdymo įstaigose, plėtojant visos dienos mokyklos veiklas“</t>
  </si>
  <si>
    <t>Mokinių, dalyvaujančių visos dienos mokyklos veiklose, dalis nuo visų pradinių klasių mokinių</t>
  </si>
  <si>
    <t>Įsigytos įrangos ir baldų skaičius</t>
  </si>
  <si>
    <t>Įrengtų edukacinių erdvių</t>
  </si>
  <si>
    <t>08-02-11</t>
  </si>
  <si>
    <t>Įgyvendinti projektą „Ikimokyklinio ugdymo paslaugų prieinamumo didinimas Šiaulių miesto savivaldybėje“</t>
  </si>
  <si>
    <t>Sukurtų naujų ikimokyklinio ugdymo vietų skaičius</t>
  </si>
  <si>
    <t>08-02-12</t>
  </si>
  <si>
    <t>Įgyvendinti bendrojo ugdymo mokyklų projektą ,,Tūkstantmečio mokyklos I“</t>
  </si>
  <si>
    <t>Statybos ir renovacijos skyrius; Švietimo skyrius; Šiaulių S. Šalkauskio gimnazija; Šiaulių Salduvės progimnazija; Šiaulių Ragainės progimnazija; Šiaulių Gytarių progimnazija; Šiaulių universitetinė gimnazija; Viešųjų investicijų skyrius</t>
  </si>
  <si>
    <t>Atnaujinta infrastruktūra Šiaulių universitetinėje ir S. Šalkauskio gimnazijose, Gytarių, Ragainės ir Salduvės progimnazijose</t>
  </si>
  <si>
    <t>Įgyvendintų ugdymo kokybę gerinančių priemonių Šiaulių universitetinėje ir S. Šalkauskio gimnazijose, Gytarių, Ragainės ir Salduvės progimnazijose, dalis</t>
  </si>
  <si>
    <t>Įsigyti baldai, įranga ir mokymo priemonės Šiaulių universitetinėje ir S. Šalkauskio gimnazijose, Gytarių, Ragainės ir Salduvės progimnazijose</t>
  </si>
  <si>
    <t>Švietimo pagalbą gaunančių mokinių dalis nuo visų mokinių, kuriems nustatytas tokios pagalbos poreikis, skaičiaus</t>
  </si>
  <si>
    <t>Neformaliojo švietimo veikloje dalyvaujančių mokinių dalis nuo bendrojo ugdymo mokyklų mokinių skaičiaus</t>
  </si>
  <si>
    <t>STEAM: 7-12 kl. TŪM mokyklų mokinių, kurie turi galimybes dalyvauti praktinėse pamokose laboratorijose ne rečiau kaip 1 kartą per mėnesį, dalis nuo bendro TŪM mokyklų 7-12 klasių mokinių skaičiaus</t>
  </si>
  <si>
    <t>08-02-13</t>
  </si>
  <si>
    <t>Įgyvendinti projektą „S. Daukanto inžinerijos gimnazijos  infrastruktūros modernizavimas, pritaikant specializuotų inžinerinio ugdymo programų vykdymui“</t>
  </si>
  <si>
    <t>08-02-14</t>
  </si>
  <si>
    <t>Įgyvendinti projektą „Bendrojo ugdymo paslaugų kokybės gerinimas ir prieinamumo didinimas Šiaulių mieste, modernizuojant Vinco Kudirkos progimnaziją“</t>
  </si>
  <si>
    <t>08-02-15</t>
  </si>
  <si>
    <t>Įgyvendinti projektą „Bendrojo ugdymo paslaugų kokybės gerinimas ir prieinamumo didinimas Šiaulių mieste, modernizuojant Šiaulių Ragainės progimnaziją“</t>
  </si>
  <si>
    <t>08-02-16</t>
  </si>
  <si>
    <t>Įgyvendinti projektą „Šiaulių miesto ,,Romuvos“, Dainų ir Salduvės progimnazijų bei Didždvario ir Lieporių gimnazijų lauko infrastruktūros atnaujinimas, pritaikymas ugdymo poreikiams ir funkcionalumo didinimas“</t>
  </si>
  <si>
    <t>08-02-17</t>
  </si>
  <si>
    <t>Įgyvendinti projektą „Didždvario gimnazijos pastato remontas“</t>
  </si>
  <si>
    <t>Atlikta pastato remonto darbų</t>
  </si>
  <si>
    <t>08-02-18</t>
  </si>
  <si>
    <t>Renovuoti švietimo įstaigų baseinus</t>
  </si>
  <si>
    <t>Atlikta baseino remonto darbų</t>
  </si>
  <si>
    <t>08-02-19</t>
  </si>
  <si>
    <t>Įgyvendinti projektą „Rėkyvos progimnazijos rekonstrukcija ir aplinkos gerinimas“</t>
  </si>
  <si>
    <t>Valstybinės statybos darbų užbaigimo komisijos privalomųjų reikalavimų įgyvendinimas</t>
  </si>
  <si>
    <t>08-03</t>
  </si>
  <si>
    <t>Sudaryti sąlygas jaunimo savirealizacijai jų poreikiams pritaikytoje aplinkoje</t>
  </si>
  <si>
    <t>Nepilnamečių, įtariamų padarius nusikalstamas veikas, skaičius, tenkantis 100 tūkst. 1417 metų amžiaus vaikų</t>
  </si>
  <si>
    <t>Mokinių vasaros užimtumas nuo bendro mokinių skaičiaus</t>
  </si>
  <si>
    <t>Jaunimo organizacijose dalyvaujančių asmenų skaičius</t>
  </si>
  <si>
    <t>08-03-01</t>
  </si>
  <si>
    <t>Įgyvendinti vaikų ir jaunimo vasaros užimtumo programas</t>
  </si>
  <si>
    <t>Suorganizuotų vaikų ir jaunimo poilsio stovyklų dalyvių skaičius</t>
  </si>
  <si>
    <t>08-03-02</t>
  </si>
  <si>
    <t>Organizuoti kokybišką jaunimo užimtumą ir laisvalaikio praleidimą</t>
  </si>
  <si>
    <t>Sukurta aplikacija, programėlė, siekiant padidinti jaunimo užimtumo galimybių viešinimą</t>
  </si>
  <si>
    <t>Suorganizuotų masinių renginių, festivalių jaunimui skaičius</t>
  </si>
  <si>
    <t>08-03-03</t>
  </si>
  <si>
    <t>Pritaikyti erdves  jaunimo poreikiams ir veiklai</t>
  </si>
  <si>
    <t>Atnaujinta atviro jaunimo centro infrastruktūra</t>
  </si>
  <si>
    <t>Įkurtų naujų atvirų jaunimo erdvių, centrų skaičius</t>
  </si>
  <si>
    <t>08-03-04</t>
  </si>
  <si>
    <t>Finansuota projektų skaičius</t>
  </si>
  <si>
    <t>Dalyvių skaičius</t>
  </si>
  <si>
    <t>Jaunimo, dalyvaujančio projektinėje veikloje, dalis nuo bendro jaunimo skaičiaus</t>
  </si>
  <si>
    <t>08-04</t>
  </si>
  <si>
    <t>Sudaryti sąlygas kokybiškam ugdymo procesui</t>
  </si>
  <si>
    <t>Vaikų, dalyvaujančių ikimokykliniame ugdyme 3-5 metų, dalis nuo vaikų (3-5 m.)</t>
  </si>
  <si>
    <t>Mokyklinio amžiaus vaikų, nesimokančių mokyklose skaičius, tenkantis 1000 gyv.</t>
  </si>
  <si>
    <t>Neformaliojo švietimo veiklose dalyvaujančių mokinių dalis Šiaulių miesto savivaldybės mokyklose nuo visų mokinių</t>
  </si>
  <si>
    <t>08-04-01</t>
  </si>
  <si>
    <t>Užtikrinti švietimo įstaigų veiklą (ML 98% + SB)</t>
  </si>
  <si>
    <t>Bendrojo ugdymo mokyklų skaičius</t>
  </si>
  <si>
    <t>Miesto bendrojo ugdymo mokyklose mokinių skaičius</t>
  </si>
  <si>
    <t>Veikiantis švietimo kompetencijų centras</t>
  </si>
  <si>
    <t>Tarnyba, teikianti pedagoginę psichologinę pagalbą vaikams ir mokiniams</t>
  </si>
  <si>
    <t>Įstaigų, kuriose įsteigti karjeros specialisto etatai, skaičius</t>
  </si>
  <si>
    <t>Mokinių, dalyvaujančių ,,Kultūros krepšelio“ edukaciniuose užsiėmimuose Šiaulių regiono muziejuose ir kitose kultūros įstaigose skaičius</t>
  </si>
  <si>
    <t>1.03.</t>
  </si>
  <si>
    <t>Įdiegtų akredituotų tarptautinio bakalaureato pradinio (1-4 kl.) ir pagrindinio (5-8 kl.) ugdymo programų, skaičius</t>
  </si>
  <si>
    <t>Bendrojo ugdymo įstaigų, kuriose ugdoma anglų kalba, skaičius</t>
  </si>
  <si>
    <t>08-04-02</t>
  </si>
  <si>
    <t>Tenkinti mokymo reikmes (ML  2% )</t>
  </si>
  <si>
    <t>Ikimokyklinio ir bendrojo ugdymo mokyklų, kuriose tenkinamos ugdymo reikmės, skaičius</t>
  </si>
  <si>
    <t>Mokyklų, įdiegusių socialinių kompetencijų ugdymo modelį, skaičius</t>
  </si>
  <si>
    <t>08-04-03</t>
  </si>
  <si>
    <t>Organizuoti mokinių vežimą</t>
  </si>
  <si>
    <t>Mokinių, kuriems kompensuojamas važiavimas į mokyklą, skaičius</t>
  </si>
  <si>
    <t>08-04-04</t>
  </si>
  <si>
    <t>Užtikrinti viešųjų įstaigų, įgyvendinančių bendrąsias ir specialiąsias ugdymo programas bei nevalstybinių tradicinių religinių bendruomenių ir bendrijų mokyklų veiklą (ML 98 % + SB)</t>
  </si>
  <si>
    <t>VšĮ ugdymo įstaigų skaičius</t>
  </si>
  <si>
    <t>Nevalstybinių tradicinių religinių bendruomenių ir bendrijų mokyklų skaičius</t>
  </si>
  <si>
    <t>08-04-05</t>
  </si>
  <si>
    <t>Užtikrinti neformaliojo vaikų švietimo įstaigų veiklą</t>
  </si>
  <si>
    <t>Sporto skyrius; Švietimo skyrius</t>
  </si>
  <si>
    <t>Neformaliojo vaikų švietimo mokyklų skaičius</t>
  </si>
  <si>
    <t>Vaikų, lankančių neformaliojo vaikų švietimo mokyklas, skaičius</t>
  </si>
  <si>
    <t>FŠPU dalyvaujančių 1-12 klasių mokinių skaičius</t>
  </si>
  <si>
    <t>Neformaliojo švietimo mokyklų, kuriose atliktas išorės vertinimas, skaičius</t>
  </si>
  <si>
    <t>Formalųjį švietimą papildančių ugdymo programų skaičius</t>
  </si>
  <si>
    <t>Veiklų, didinančių neformaliojo vaikų švietimo patrauklumą mokinių ir tėvų bendruomenėje, skaičius</t>
  </si>
  <si>
    <t>08-04-06</t>
  </si>
  <si>
    <t>Užtikrinti neformaliojo vaikų švietimo teikėjų programų vykdymą</t>
  </si>
  <si>
    <t>Neformaliojo vaikų švietimo programų skaičius</t>
  </si>
  <si>
    <t>Neformaliojo vaikų švietimo teikėjų skaičius</t>
  </si>
  <si>
    <t>Nevalstybinių švietimo įstaigų ir laisvųjų mokytojų įgyvendinamų neformaliojo vaikų švietimo programas lankančių vaikų skaičius</t>
  </si>
  <si>
    <t>08-04-07</t>
  </si>
  <si>
    <t>Kompensuoti tėvų atlyginimą už neformalųjį vaikų švietimą savivaldybės įstaigose</t>
  </si>
  <si>
    <t>Atlyginimo lengvatą už neformalųjį vaikų švietimą  gaunančių vaikų skaičius</t>
  </si>
  <si>
    <t>08-04-08</t>
  </si>
  <si>
    <t>Užtikrinti ikimokyklinio ir priešmokyklinio ugdymo įstaigų veiklą</t>
  </si>
  <si>
    <t>Ikimokyklinio ugdymo įstaigų skaičius</t>
  </si>
  <si>
    <t>Pagal ikimokyklinę programą ugdomų vaikų skaičius</t>
  </si>
  <si>
    <t>Mokyklų ikimokyklinio ugdymo skyrių skaičius</t>
  </si>
  <si>
    <t>Ikimokyklinio ugdymo įstaigų, kuriose ugdoma anglų kalba, skaičius</t>
  </si>
  <si>
    <t>08-04-09</t>
  </si>
  <si>
    <t>Kompensuoti tėvų atlyginimą už vaiko išlaikymą įstaigoje</t>
  </si>
  <si>
    <t>Ikimokyklinio ugdymo įstaigose lengvatas gaunančių vaikų skaičius</t>
  </si>
  <si>
    <t>08-04-10</t>
  </si>
  <si>
    <t>Užtikrinti ikimokyklinio ugdymo programų įgyvendinimą Šiaulių miesto nevalstybinėse švietimo įstaigose</t>
  </si>
  <si>
    <t>Nevalstybines švietimo įstaigas, įgyvendinančias ikimokyklinio ugdymo programas, lankančių ugdytinių skaičius</t>
  </si>
  <si>
    <t>08-04-11</t>
  </si>
  <si>
    <t>Užtikrinti ikimokyklinio ir priešmokyklinio ugdymo programas vykdančių viešųjų įstaigų veiklą</t>
  </si>
  <si>
    <t>Viešųjų įstaigų skaičius</t>
  </si>
  <si>
    <t>08-04-12</t>
  </si>
  <si>
    <t>Užtikrinti profesinio orientavimo paslaugų teikimą Šiaulių miesto bendrojo ugdymo mokyklose</t>
  </si>
  <si>
    <t>Mokyklų, kuriose dirba karjeros specialistai, skaičius</t>
  </si>
  <si>
    <t>Karjeros specialistų etatų mokyklose skaičius</t>
  </si>
  <si>
    <t>08-04-13</t>
  </si>
  <si>
    <t>Aprūpinti Šiaulių miesto bendrojo ugdymo mokyklas mokymosi ir higieninėmis priemonėmis</t>
  </si>
  <si>
    <t>Mokyklų , kurioms skirtos lėšos mokymosi priemonėms  įsigyti, skaičius</t>
  </si>
  <si>
    <t>Mokyklų , kurioms skirtos lėšos 5-12 klasių mergaičių higienos priemonėms  įsigyti, skaičius</t>
  </si>
  <si>
    <t>08-04-14</t>
  </si>
  <si>
    <t>Įgyvendinti projektą „Ugdymo priemonės mokykloms“</t>
  </si>
  <si>
    <t>Švietimo skyrius; Viešųjų investicijų skyrius; Turto valdymo skyrius</t>
  </si>
  <si>
    <t>Įsigyta įrangos dalis</t>
  </si>
  <si>
    <t>09</t>
  </si>
  <si>
    <t>Sveikatos programa</t>
  </si>
  <si>
    <t>09-01</t>
  </si>
  <si>
    <t>Plėtoti asmens ir visuomenės sveikatos priežiūros paslaugas, ugdyti visuomenės poreikį sveikai gyventi</t>
  </si>
  <si>
    <t>Paliatyvios pagalbos, globos, slaugos ir palaikomojo gydymo lovų skaičius, tenkantis 1 tūkst. gyventojų</t>
  </si>
  <si>
    <t>Pacientų, kurie pas šeimos gydytoją patenka per 7 kalendorines dienas, dalis</t>
  </si>
  <si>
    <t>Savižudybių skaičius, tenkantis 100 tūkst. gyventojų</t>
  </si>
  <si>
    <t>09-01-01</t>
  </si>
  <si>
    <t>Užtikrinti Visuomenės sveikatos biuro veiklą</t>
  </si>
  <si>
    <t>Sveikatos skyrius; Šiaulių miesto savivaldybės visuomenės sveikatos biuras</t>
  </si>
  <si>
    <t>Privalomojo mokymo metu mokytų asmenų</t>
  </si>
  <si>
    <t>09-01-02</t>
  </si>
  <si>
    <t xml:space="preserve">Didinti visuomenės sveikatos stiprinimo paslaugų teikimo aprėptį </t>
  </si>
  <si>
    <t>Šiaulių miesto savivaldybės visuomenės sveikatos biuras; Sveikatos skyrius</t>
  </si>
  <si>
    <t>Ugdymo įstaigų, kuriose vykdytos visuomenės sveikatos priežiūros funkcijos, skaičius</t>
  </si>
  <si>
    <t>Mokinių, dalyvavusių sveikatinimo veiklose ugdymo įstaigose, skaičius</t>
  </si>
  <si>
    <t>Parengta stebėsenos ataskaita su pasiūlymais dėl gyventojų sveikatos būklės gerinimo</t>
  </si>
  <si>
    <t>Miesto gyventojų, dalyvavusių sveikatinimo veiklose, skaičius</t>
  </si>
  <si>
    <t>Baseino paslaugas gavusių asmenų skaičius</t>
  </si>
  <si>
    <t>Asmenų, baigusių Širdies ir kraujagyslių ligų ir cukrinio diabeto prevencinę sveikatos stiprinimo programą, skaičius</t>
  </si>
  <si>
    <t>09-01-03</t>
  </si>
  <si>
    <t xml:space="preserve">Užtikrinti platesnį psichoemocinės pagalbos prieinamumą </t>
  </si>
  <si>
    <t>Sveikatos skyrius; Šiaulių miesto savivaldybės visuomenės sveikatos biuras; VšĮ Šiaulių centro poliklinika; VšĮ Dainų pirminės sveikatos priežiūros centras</t>
  </si>
  <si>
    <t>Asmenų, gavusių psichologinės gerovės ir psichikos sveikatos stiprinimo paslaugas, skaičius:</t>
  </si>
  <si>
    <t>Šiaulių miesto savivaldybės visuomenės sveikatos biuras</t>
  </si>
  <si>
    <t>VšĮ Šiaulių centro poliklinikos Psichikos sveikatos centras</t>
  </si>
  <si>
    <t>VšĮ Dainų pirminės sveikatos priežiūros centras</t>
  </si>
  <si>
    <t>Asmenų, dalyvavusių Socialinio recepto iniciatyvoje, skaičius</t>
  </si>
  <si>
    <t>Pravestų mokymų skaičius</t>
  </si>
  <si>
    <t>09-01-04</t>
  </si>
  <si>
    <t xml:space="preserve">Užtikrinti paramos priemonių tuberkulioze sergantiems asmenims įgyvendinimą </t>
  </si>
  <si>
    <t>Tuberkulioze sergančių pacientų, kuriems buvo suteiktos socialinės paramos priemonės tuberkuliozės ambulatorinio gydymo metu, skaičius</t>
  </si>
  <si>
    <t>09-01-05</t>
  </si>
  <si>
    <t>Užtikrinti priklausomybės ligų profilaktikos, diagnostikos ir gydymo kokybės ir prieinamumo gerinimą</t>
  </si>
  <si>
    <t>Sveikatos skyrius; VšĮ Šiaulių centro poliklinika</t>
  </si>
  <si>
    <t>Apsilankymų žemo slenksčio paslaugų kabinetuose skaičius</t>
  </si>
  <si>
    <t>09-01-06</t>
  </si>
  <si>
    <t xml:space="preserve">Didinti sveikatos specialistų teikiamų paslaugų prieinamumą </t>
  </si>
  <si>
    <t>Pritrauktų reikiamos kvalifikacijos sveikatos srities specialistų skaičius</t>
  </si>
  <si>
    <t>Finansuotų sveikatos mokslų studentų skaičius</t>
  </si>
  <si>
    <t>09-01-07</t>
  </si>
  <si>
    <t>Vykdyti Visuomenės sveikatos rėmimo specialiąją programą</t>
  </si>
  <si>
    <t>Sveikatinimo iniciatyvose dalyvavusių asmenų skaičius</t>
  </si>
  <si>
    <t>Gavusių privalomojo profilaktinio aplinkos kenksmingumo pašalinimo paslaugas asmenų skaičius</t>
  </si>
  <si>
    <t>Įvykdytų ligų profilaktikos ir prevencijos priemonių skaičius</t>
  </si>
  <si>
    <t>Kompensuotų sveikatos paslaugų tikslinėms gyventojų grupėms skaičius</t>
  </si>
  <si>
    <t>Stebėtų ir prižiūrėtų maudyklų</t>
  </si>
  <si>
    <t>09-01-08</t>
  </si>
  <si>
    <t>Gerinti medicinos srities įvaizdį visuomenėje</t>
  </si>
  <si>
    <t>Sveikatos skyrius; VšĮ Šiaulių centro poliklinika; VšĮ Dainų pirminės sveikatos priežiūros centras; VšĮ Šiaulių ilgalaikio gydymo ir geriatrijos centras; VšĮ Šiaulių reabilitacijos centras; Šiaulių miesto savivaldybės visuomenės sveikatos biuras</t>
  </si>
  <si>
    <t>Švietimo įstaigų, dalyvavusių sveikatos srities patrauklumo didinimo projektuose, skaičius</t>
  </si>
  <si>
    <t>Daugiašalių bendradarbiavimo iniciatyvų, siekiant gerinti medicinos srities įvaizdį, skaičius</t>
  </si>
  <si>
    <t>09-02</t>
  </si>
  <si>
    <t>Užtikrinti asmens sveikatos priežiūros paslaugų prieinamumą ir kokybę, atnaujinant esamą bei įrengiant naują infrastruktūrą</t>
  </si>
  <si>
    <t>Savivaldybės sveikatos įstaigų pastatų, kurie yra geros būklės, skaičius</t>
  </si>
  <si>
    <t>Sveikatos įstaigų pastatų skaičius</t>
  </si>
  <si>
    <t>09-02-03</t>
  </si>
  <si>
    <t>Įgyvendinti projektą „VšĮ Šiaulių ilgalaikio gydymo ir geriatrijos centro pastatų rekonstravimas, aktyvios ventiliacijos įrengimas, kiemo gerbūvio sutvarkymas ir maisto gamybos skyriaus modernizavimas"</t>
  </si>
  <si>
    <t>Sveikatos skyrius; VšĮ Šiaulių ilgalaikio gydymo ir geriatrijos centras</t>
  </si>
  <si>
    <t>Atlikta naujojo korpuso dalies rekuperavimo ir kondicionavimo sistemos įrengimo darbų dalis</t>
  </si>
  <si>
    <t>Atlikta fasado šiltinimo ir atnaujinimo darbų dalis</t>
  </si>
  <si>
    <t>Atlikta gerbūvio, cokolio šiltinimo darbų dalis</t>
  </si>
  <si>
    <t>09-02-04</t>
  </si>
  <si>
    <t>Modernizuoti VšĮ Šiaulių centro polikliniką</t>
  </si>
  <si>
    <t>Atlikta rekuperavimo ir kondicionavimo sistemos pagrindiniame poliklinikos korpuse įrengimo darbų dalis</t>
  </si>
  <si>
    <t>Parengtas pastato Vytauto g. 101 šiltinimo ir atnaujinimo darbų statybos projektas</t>
  </si>
  <si>
    <t>Atlikta pastato Vytauto g. 101 šiltinimo ir atnaujinimo darbų dalis</t>
  </si>
  <si>
    <t>09-02-05</t>
  </si>
  <si>
    <t>Didinti VšĮ Dainų pirminės sveikatos priežiūros centro funkcionalumą</t>
  </si>
  <si>
    <t>Sveikatos skyrius; VšĮ Dainų pirminės sveikatos priežiūros centras</t>
  </si>
  <si>
    <t>Modernizuota pastato Aido g. 16 A dalis</t>
  </si>
  <si>
    <t>Sutvarkytos viešo naudojimo šaligatvių dangos plotas</t>
  </si>
  <si>
    <t>Sutvarkytas aplinkos aptvarų plotas</t>
  </si>
  <si>
    <t>09-02-06</t>
  </si>
  <si>
    <t>Įgyvendinti projektą „Sveikatos centrų sudėtyje teikiamų sveikatos priežiūros paslaugų infrastruktūros modernizavimas Šiaulių miesto savivaldybėje“</t>
  </si>
  <si>
    <t>Sveikatos skyrius; Viešųjų investicijų skyrius</t>
  </si>
  <si>
    <t>Įsigytos įrangos ir baldų dalis</t>
  </si>
  <si>
    <t>Įsigytų automobilių skaičius</t>
  </si>
  <si>
    <t>09-02-07</t>
  </si>
  <si>
    <t>Įgyvendinti projektą „Ilgalaikės priežiūros dienos centrų įrengimas, mobilių komandų aprūpinimas įranga ir transporto priemonėmis“</t>
  </si>
  <si>
    <t>Įkurtų specializuotų dienos priežiūros centrų skaičius</t>
  </si>
  <si>
    <t>Sukurtų mobilių komandų skaičius</t>
  </si>
  <si>
    <t>Įsigyta įrangos</t>
  </si>
  <si>
    <t>Modernizuoto ilgalaikės priežiūros dienos centro talpumas dienai</t>
  </si>
  <si>
    <t>09-02-08</t>
  </si>
  <si>
    <t>Įgyvendinti projektą „Sveikatos specialistų rengimas, pritraukimas Šiaulių miesto savivaldybėje"</t>
  </si>
  <si>
    <t>Pritraukti specialistai</t>
  </si>
  <si>
    <t>09-02-09</t>
  </si>
  <si>
    <t>Įgyvendinti projektą „Sveikatos centrų veiklos modelio diegimas Šiaulių miesto savivaldybėje"</t>
  </si>
  <si>
    <t>Įsigytos prietaisų ir programėlių, skirtų pacientų sveikatos būklei ambulatoriškai ir nuotoliniu būdu stebėti ir vertinti, dalis</t>
  </si>
  <si>
    <t>Specialistai, dalyvavę kvalifikacijos tobulinimo ar perkvalifikavimo veiklose</t>
  </si>
  <si>
    <t>Asmenys, dalyvavę veiklose, skirtose lėtinei ligai savarankiškai valdyti</t>
  </si>
  <si>
    <t>Parengtas sveikatos centro veiklos koordinavimo procesus reglamentuojantis dokumentas</t>
  </si>
  <si>
    <t>1.</t>
  </si>
  <si>
    <t>SAVIVALDYBĖS BIUDŽETAS IŠ VISO, IŠ JO:</t>
  </si>
  <si>
    <t>Savivaldybės biudžeto lėšos (SB)</t>
  </si>
  <si>
    <t>Skolintos lėšos (PS)</t>
  </si>
  <si>
    <t>Lėšos ugdymo reikmėms VB (UR)</t>
  </si>
  <si>
    <t>Lėšos valstybinėms funkcijoms VB (VF)</t>
  </si>
  <si>
    <t>Valstybės biudžeto lėšos (VB)</t>
  </si>
  <si>
    <t>Kelių priežiūros ir plėtros programos lėšos VB (KPPP)</t>
  </si>
  <si>
    <t>Europos Sąjungos lėšos (ES)</t>
  </si>
  <si>
    <t>Įstaigos pajamų lėšos (PL)</t>
  </si>
  <si>
    <t>Lėšų likutis ataskaitinio laikotarpio pabaigoje (LIK)</t>
  </si>
  <si>
    <t>Aplinkos apsaugos rėmimo specialiosios programos lėšos SB (AA)</t>
  </si>
  <si>
    <t>Lėšų likutis iš Aplinkos apsaugos rėmimo specialiosios programos SB (AA/LIK)</t>
  </si>
  <si>
    <t>2.</t>
  </si>
  <si>
    <t>KITOS LĖŠOS IŠ VISO, IŠ JŲ:</t>
  </si>
  <si>
    <t>Valstybės biudžeto lėšos KT (VB)</t>
  </si>
  <si>
    <t>Europos Sąjungos lėšos KT (ES)</t>
  </si>
  <si>
    <t>Kitų šaltinių lėšos KT (KL)</t>
  </si>
  <si>
    <t>IŠ VISO programai finansuoti pagal finansavimo šaltinius:</t>
  </si>
  <si>
    <t>Sporto skyrius; Šiaulių regbio ir žolės riedulio akademija</t>
  </si>
  <si>
    <t>Mobilių žiūrovų tribūnų įsigijimas</t>
  </si>
  <si>
    <t xml:space="preserve">strateginio veiklos plano </t>
  </si>
  <si>
    <t>1 priedas</t>
  </si>
  <si>
    <t>Šiaulių miesto savivaldybės 2025-2027 metų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</si>
</sst>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4" x14ac:knownFonts="1">
    <font>
      <sz val="11"/>
      <color rgb="FF000000"/>
      <name val="Calibri"/>
      <family val="2"/>
    </font>
    <font>
      <sz val="11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rgb="FFD8FAD4"/>
        <bgColor rgb="FFD8FAD4"/>
      </patternFill>
    </fill>
    <fill>
      <patternFill patternType="solid">
        <fgColor rgb="FFFAEE80"/>
        <bgColor rgb="FFFAEE80"/>
      </patternFill>
    </fill>
    <fill>
      <patternFill patternType="solid">
        <fgColor rgb="FFEBEBEB"/>
        <bgColor rgb="FFEBEBEB"/>
      </patternFill>
    </fill>
    <fill>
      <patternFill patternType="solid">
        <fgColor rgb="FFD8FAD4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 applyBorder="0"/>
  </cellStyleXfs>
  <cellXfs count="122">
    <xf numFmtId="0" fontId="0" fillId="0" borderId="0" xfId="0"/>
    <xf numFmtId="0" fontId="1" fillId="0" borderId="1" xfId="0" applyFont="1" applyBorder="1" applyAlignment="1" applyProtection="1">
      <alignment horizontal="left" vertical="top" wrapText="1" readingOrder="1"/>
      <protection locked="0"/>
    </xf>
    <xf numFmtId="0" fontId="1" fillId="0" borderId="1" xfId="0" applyFont="1" applyBorder="1" applyAlignment="1" applyProtection="1">
      <alignment horizontal="center" vertical="top" wrapText="1" readingOrder="1"/>
      <protection locked="0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/>
    <xf numFmtId="0" fontId="2" fillId="2" borderId="0" xfId="0" applyFont="1" applyFill="1" applyAlignment="1">
      <alignment horizontal="center"/>
    </xf>
    <xf numFmtId="0" fontId="1" fillId="0" borderId="0" xfId="0" applyFont="1" applyAlignment="1">
      <alignment vertical="center"/>
    </xf>
    <xf numFmtId="0" fontId="1" fillId="2" borderId="0" xfId="0" applyFont="1" applyFill="1"/>
    <xf numFmtId="0" fontId="2" fillId="0" borderId="1" xfId="0" applyFont="1" applyBorder="1" applyAlignment="1">
      <alignment horizontal="center" vertical="center" wrapText="1" readingOrder="1"/>
    </xf>
    <xf numFmtId="0" fontId="2" fillId="0" borderId="3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1" fillId="4" borderId="7" xfId="0" applyFont="1" applyFill="1" applyBorder="1" applyAlignment="1" applyProtection="1">
      <alignment vertical="top" wrapText="1" readingOrder="1"/>
      <protection locked="0"/>
    </xf>
    <xf numFmtId="0" fontId="1" fillId="4" borderId="8" xfId="0" applyFont="1" applyFill="1" applyBorder="1" applyAlignment="1" applyProtection="1">
      <alignment vertical="top" wrapText="1" readingOrder="1"/>
      <protection locked="0"/>
    </xf>
    <xf numFmtId="164" fontId="1" fillId="4" borderId="8" xfId="0" applyNumberFormat="1" applyFont="1" applyFill="1" applyBorder="1" applyAlignment="1">
      <alignment horizontal="right" vertical="top" wrapText="1" readingOrder="1"/>
    </xf>
    <xf numFmtId="164" fontId="1" fillId="3" borderId="8" xfId="0" applyNumberFormat="1" applyFont="1" applyFill="1" applyBorder="1" applyAlignment="1">
      <alignment horizontal="right" vertical="top" wrapText="1" readingOrder="1"/>
    </xf>
    <xf numFmtId="0" fontId="1" fillId="3" borderId="8" xfId="0" applyFont="1" applyFill="1" applyBorder="1" applyAlignment="1" applyProtection="1">
      <alignment horizontal="left" vertical="top" wrapText="1" readingOrder="1"/>
      <protection locked="0"/>
    </xf>
    <xf numFmtId="0" fontId="1" fillId="3" borderId="8" xfId="0" applyFont="1" applyFill="1" applyBorder="1" applyAlignment="1" applyProtection="1">
      <alignment horizontal="center" vertical="top" wrapText="1" readingOrder="1"/>
      <protection locked="0"/>
    </xf>
    <xf numFmtId="164" fontId="3" fillId="3" borderId="8" xfId="0" applyNumberFormat="1" applyFont="1" applyFill="1" applyBorder="1" applyAlignment="1" applyProtection="1">
      <alignment horizontal="center" vertical="top" wrapText="1" readingOrder="1"/>
      <protection locked="0"/>
    </xf>
    <xf numFmtId="164" fontId="3" fillId="3" borderId="9" xfId="0" applyNumberFormat="1" applyFont="1" applyFill="1" applyBorder="1" applyAlignment="1" applyProtection="1">
      <alignment horizontal="center" vertical="top" wrapText="1" readingOrder="1"/>
      <protection locked="0"/>
    </xf>
    <xf numFmtId="164" fontId="1" fillId="6" borderId="1" xfId="0" applyNumberFormat="1" applyFont="1" applyFill="1" applyBorder="1" applyAlignment="1" applyProtection="1">
      <alignment horizontal="right" vertical="top" wrapText="1" readingOrder="1"/>
      <protection locked="0"/>
    </xf>
    <xf numFmtId="0" fontId="1" fillId="6" borderId="1" xfId="0" applyFont="1" applyFill="1" applyBorder="1" applyAlignment="1" applyProtection="1">
      <alignment horizontal="left" vertical="top" wrapText="1" readingOrder="1"/>
      <protection locked="0"/>
    </xf>
    <xf numFmtId="0" fontId="1" fillId="6" borderId="1" xfId="0" applyFont="1" applyFill="1" applyBorder="1" applyAlignment="1" applyProtection="1">
      <alignment horizontal="center" vertical="top" wrapText="1" readingOrder="1"/>
      <protection locked="0"/>
    </xf>
    <xf numFmtId="0" fontId="1" fillId="6" borderId="6" xfId="0" applyFont="1" applyFill="1" applyBorder="1" applyAlignment="1" applyProtection="1">
      <alignment horizontal="center" vertical="top" wrapText="1" readingOrder="1"/>
      <protection locked="0"/>
    </xf>
    <xf numFmtId="0" fontId="1" fillId="0" borderId="8" xfId="0" applyFont="1" applyBorder="1" applyAlignment="1" applyProtection="1">
      <alignment horizontal="left" vertical="top" wrapText="1" readingOrder="1"/>
      <protection locked="0"/>
    </xf>
    <xf numFmtId="164" fontId="1" fillId="0" borderId="8" xfId="0" applyNumberFormat="1" applyFont="1" applyBorder="1" applyAlignment="1">
      <alignment horizontal="right" vertical="top" wrapText="1" readingOrder="1"/>
    </xf>
    <xf numFmtId="0" fontId="1" fillId="0" borderId="8" xfId="0" applyFont="1" applyBorder="1" applyAlignment="1" applyProtection="1">
      <alignment horizontal="center" vertical="top" wrapText="1" readingOrder="1"/>
      <protection locked="0"/>
    </xf>
    <xf numFmtId="0" fontId="1" fillId="0" borderId="9" xfId="0" applyFont="1" applyBorder="1" applyAlignment="1" applyProtection="1">
      <alignment horizontal="center" vertical="top" wrapText="1" readingOrder="1"/>
      <protection locked="0"/>
    </xf>
    <xf numFmtId="164" fontId="1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1" fillId="0" borderId="6" xfId="0" applyFont="1" applyBorder="1" applyAlignment="1" applyProtection="1">
      <alignment horizontal="center" vertical="top" wrapText="1" readingOrder="1"/>
      <protection locked="0"/>
    </xf>
    <xf numFmtId="0" fontId="1" fillId="0" borderId="7" xfId="0" applyFont="1" applyBorder="1" applyAlignment="1" applyProtection="1">
      <alignment vertical="top" wrapText="1" readingOrder="1"/>
      <protection locked="0"/>
    </xf>
    <xf numFmtId="0" fontId="1" fillId="0" borderId="8" xfId="0" applyFont="1" applyBorder="1" applyAlignment="1" applyProtection="1">
      <alignment vertical="top" wrapText="1" readingOrder="1"/>
      <protection locked="0"/>
    </xf>
    <xf numFmtId="164" fontId="1" fillId="0" borderId="8" xfId="0" applyNumberFormat="1" applyFont="1" applyBorder="1" applyAlignment="1" applyProtection="1">
      <alignment horizontal="right" vertical="top" wrapText="1" readingOrder="1"/>
      <protection locked="0"/>
    </xf>
    <xf numFmtId="0" fontId="1" fillId="3" borderId="7" xfId="0" applyFont="1" applyFill="1" applyBorder="1" applyAlignment="1" applyProtection="1">
      <alignment vertical="top" wrapText="1" readingOrder="1"/>
      <protection locked="0"/>
    </xf>
    <xf numFmtId="0" fontId="1" fillId="3" borderId="9" xfId="0" applyFont="1" applyFill="1" applyBorder="1" applyAlignment="1" applyProtection="1">
      <alignment horizontal="center" vertical="top" wrapText="1" readingOrder="1"/>
      <protection locked="0"/>
    </xf>
    <xf numFmtId="3" fontId="1" fillId="0" borderId="1" xfId="0" applyNumberFormat="1" applyFont="1" applyBorder="1" applyAlignment="1" applyProtection="1">
      <alignment horizontal="center" vertical="top" wrapText="1" readingOrder="1"/>
      <protection locked="0"/>
    </xf>
    <xf numFmtId="3" fontId="1" fillId="0" borderId="6" xfId="0" applyNumberFormat="1" applyFont="1" applyBorder="1" applyAlignment="1" applyProtection="1">
      <alignment horizontal="center" vertical="top" wrapText="1" readingOrder="1"/>
      <protection locked="0"/>
    </xf>
    <xf numFmtId="3" fontId="1" fillId="3" borderId="8" xfId="0" applyNumberFormat="1" applyFont="1" applyFill="1" applyBorder="1" applyAlignment="1" applyProtection="1">
      <alignment horizontal="center" vertical="top" wrapText="1" readingOrder="1"/>
      <protection locked="0"/>
    </xf>
    <xf numFmtId="3" fontId="1" fillId="3" borderId="9" xfId="0" applyNumberFormat="1" applyFont="1" applyFill="1" applyBorder="1" applyAlignment="1" applyProtection="1">
      <alignment horizontal="center" vertical="top" wrapText="1" readingOrder="1"/>
      <protection locked="0"/>
    </xf>
    <xf numFmtId="3" fontId="1" fillId="6" borderId="1" xfId="0" applyNumberFormat="1" applyFont="1" applyFill="1" applyBorder="1" applyAlignment="1" applyProtection="1">
      <alignment horizontal="center" vertical="top" wrapText="1" readingOrder="1"/>
      <protection locked="0"/>
    </xf>
    <xf numFmtId="3" fontId="1" fillId="6" borderId="6" xfId="0" applyNumberFormat="1" applyFont="1" applyFill="1" applyBorder="1" applyAlignment="1" applyProtection="1">
      <alignment horizontal="center" vertical="top" wrapText="1" readingOrder="1"/>
      <protection locked="0"/>
    </xf>
    <xf numFmtId="4" fontId="1" fillId="0" borderId="6" xfId="0" applyNumberFormat="1" applyFont="1" applyBorder="1" applyAlignment="1" applyProtection="1">
      <alignment horizontal="center" vertical="top" wrapText="1" readingOrder="1"/>
      <protection locked="0"/>
    </xf>
    <xf numFmtId="1" fontId="1" fillId="6" borderId="1" xfId="0" applyNumberFormat="1" applyFont="1" applyFill="1" applyBorder="1" applyAlignment="1" applyProtection="1">
      <alignment horizontal="center" vertical="top" wrapText="1" readingOrder="1"/>
      <protection locked="0"/>
    </xf>
    <xf numFmtId="1" fontId="1" fillId="6" borderId="6" xfId="0" applyNumberFormat="1" applyFont="1" applyFill="1" applyBorder="1" applyAlignment="1" applyProtection="1">
      <alignment horizontal="center" vertical="top" wrapText="1" readingOrder="1"/>
      <protection locked="0"/>
    </xf>
    <xf numFmtId="3" fontId="1" fillId="0" borderId="8" xfId="0" applyNumberFormat="1" applyFont="1" applyBorder="1" applyAlignment="1" applyProtection="1">
      <alignment horizontal="center" vertical="top" wrapText="1" readingOrder="1"/>
      <protection locked="0"/>
    </xf>
    <xf numFmtId="3" fontId="1" fillId="0" borderId="9" xfId="0" applyNumberFormat="1" applyFont="1" applyBorder="1" applyAlignment="1" applyProtection="1">
      <alignment horizontal="center" vertical="top" wrapText="1" readingOrder="1"/>
      <protection locked="0"/>
    </xf>
    <xf numFmtId="0" fontId="1" fillId="0" borderId="3" xfId="0" applyFont="1" applyBorder="1" applyAlignment="1" applyProtection="1">
      <alignment horizontal="left" vertical="top" wrapText="1" readingOrder="1"/>
      <protection locked="0"/>
    </xf>
    <xf numFmtId="164" fontId="1" fillId="0" borderId="3" xfId="0" applyNumberFormat="1" applyFont="1" applyBorder="1" applyAlignment="1" applyProtection="1">
      <alignment horizontal="right" vertical="top" wrapText="1" readingOrder="1"/>
      <protection locked="0"/>
    </xf>
    <xf numFmtId="0" fontId="1" fillId="0" borderId="3" xfId="0" applyFont="1" applyBorder="1" applyAlignment="1" applyProtection="1">
      <alignment horizontal="center" vertical="top" wrapText="1" readingOrder="1"/>
      <protection locked="0"/>
    </xf>
    <xf numFmtId="0" fontId="1" fillId="0" borderId="4" xfId="0" applyFont="1" applyBorder="1" applyAlignment="1" applyProtection="1">
      <alignment horizontal="center" vertical="top" wrapText="1" readingOrder="1"/>
      <protection locked="0"/>
    </xf>
    <xf numFmtId="0" fontId="1" fillId="2" borderId="0" xfId="0" applyFont="1" applyFill="1" applyAlignment="1" applyProtection="1">
      <alignment vertical="top" wrapText="1" readingOrder="1"/>
      <protection locked="0"/>
    </xf>
    <xf numFmtId="0" fontId="1" fillId="2" borderId="0" xfId="0" applyFont="1" applyFill="1" applyAlignment="1" applyProtection="1">
      <alignment horizontal="left" vertical="top" wrapText="1" readingOrder="1"/>
      <protection locked="0"/>
    </xf>
    <xf numFmtId="164" fontId="1" fillId="2" borderId="0" xfId="0" applyNumberFormat="1" applyFont="1" applyFill="1" applyAlignment="1" applyProtection="1">
      <alignment horizontal="right" vertical="top" wrapText="1" readingOrder="1"/>
      <protection locked="0"/>
    </xf>
    <xf numFmtId="0" fontId="1" fillId="2" borderId="0" xfId="0" applyFont="1" applyFill="1" applyAlignment="1" applyProtection="1">
      <alignment horizontal="center" vertical="top" wrapText="1" readingOrder="1"/>
      <protection locked="0"/>
    </xf>
    <xf numFmtId="0" fontId="1" fillId="0" borderId="1" xfId="0" applyFont="1" applyBorder="1" applyAlignment="1" applyProtection="1">
      <alignment vertical="top" wrapText="1" readingOrder="1"/>
      <protection locked="0"/>
    </xf>
    <xf numFmtId="0" fontId="2" fillId="5" borderId="1" xfId="0" applyFont="1" applyFill="1" applyBorder="1" applyAlignment="1" applyProtection="1">
      <alignment vertical="top" wrapText="1" readingOrder="1"/>
      <protection locked="0"/>
    </xf>
    <xf numFmtId="0" fontId="2" fillId="5" borderId="1" xfId="0" applyFont="1" applyFill="1" applyBorder="1" applyAlignment="1" applyProtection="1">
      <alignment horizontal="right" vertical="top" wrapText="1" readingOrder="1"/>
      <protection locked="0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top" wrapText="1" readingOrder="1"/>
    </xf>
    <xf numFmtId="164" fontId="1" fillId="0" borderId="1" xfId="0" applyNumberFormat="1" applyFont="1" applyBorder="1" applyAlignment="1" applyProtection="1">
      <alignment horizontal="center" vertical="top" wrapText="1" readingOrder="1"/>
      <protection locked="0"/>
    </xf>
    <xf numFmtId="164" fontId="2" fillId="5" borderId="1" xfId="0" applyNumberFormat="1" applyFont="1" applyFill="1" applyBorder="1" applyAlignment="1">
      <alignment horizontal="center" vertical="top" wrapText="1" readingOrder="1"/>
    </xf>
    <xf numFmtId="165" fontId="1" fillId="3" borderId="8" xfId="0" applyNumberFormat="1" applyFont="1" applyFill="1" applyBorder="1" applyAlignment="1" applyProtection="1">
      <alignment horizontal="center" vertical="top" wrapText="1" readingOrder="1"/>
      <protection locked="0"/>
    </xf>
    <xf numFmtId="165" fontId="1" fillId="3" borderId="9" xfId="0" applyNumberFormat="1" applyFont="1" applyFill="1" applyBorder="1" applyAlignment="1" applyProtection="1">
      <alignment horizontal="center" vertical="top" wrapText="1" readingOrder="1"/>
      <protection locked="0"/>
    </xf>
    <xf numFmtId="165" fontId="1" fillId="6" borderId="1" xfId="0" applyNumberFormat="1" applyFont="1" applyFill="1" applyBorder="1" applyAlignment="1" applyProtection="1">
      <alignment horizontal="center" vertical="top" wrapText="1" readingOrder="1"/>
      <protection locked="0"/>
    </xf>
    <xf numFmtId="165" fontId="1" fillId="6" borderId="6" xfId="0" applyNumberFormat="1" applyFont="1" applyFill="1" applyBorder="1" applyAlignment="1" applyProtection="1">
      <alignment horizontal="center" vertical="top" wrapText="1" readingOrder="1"/>
      <protection locked="0"/>
    </xf>
    <xf numFmtId="0" fontId="1" fillId="4" borderId="10" xfId="0" applyFont="1" applyFill="1" applyBorder="1" applyAlignment="1" applyProtection="1">
      <alignment horizontal="left" vertical="top" wrapText="1" readingOrder="1"/>
      <protection locked="0"/>
    </xf>
    <xf numFmtId="0" fontId="1" fillId="4" borderId="11" xfId="0" applyFont="1" applyFill="1" applyBorder="1" applyAlignment="1" applyProtection="1">
      <alignment horizontal="left" vertical="top" wrapText="1" readingOrder="1"/>
      <protection locked="0"/>
    </xf>
    <xf numFmtId="0" fontId="1" fillId="3" borderId="12" xfId="0" applyFont="1" applyFill="1" applyBorder="1" applyAlignment="1" applyProtection="1">
      <alignment horizontal="left" vertical="top" wrapText="1" readingOrder="1"/>
      <protection locked="0"/>
    </xf>
    <xf numFmtId="0" fontId="1" fillId="3" borderId="13" xfId="0" applyFont="1" applyFill="1" applyBorder="1" applyAlignment="1" applyProtection="1">
      <alignment horizontal="left" vertical="top" wrapText="1" readingOrder="1"/>
      <protection locked="0"/>
    </xf>
    <xf numFmtId="0" fontId="1" fillId="3" borderId="14" xfId="0" applyFont="1" applyFill="1" applyBorder="1" applyAlignment="1" applyProtection="1">
      <alignment horizontal="left" vertical="top" wrapText="1" readingOrder="1"/>
      <protection locked="0"/>
    </xf>
    <xf numFmtId="0" fontId="1" fillId="3" borderId="15" xfId="0" applyFont="1" applyFill="1" applyBorder="1" applyAlignment="1" applyProtection="1">
      <alignment horizontal="left" vertical="top" wrapText="1" readingOrder="1"/>
      <protection locked="0"/>
    </xf>
    <xf numFmtId="0" fontId="1" fillId="3" borderId="16" xfId="0" applyFont="1" applyFill="1" applyBorder="1" applyAlignment="1" applyProtection="1">
      <alignment horizontal="left" vertical="top" wrapText="1" readingOrder="1"/>
      <protection locked="0"/>
    </xf>
    <xf numFmtId="0" fontId="1" fillId="3" borderId="17" xfId="0" applyFont="1" applyFill="1" applyBorder="1" applyAlignment="1" applyProtection="1">
      <alignment horizontal="left" vertical="top" wrapText="1" readingOrder="1"/>
      <protection locked="0"/>
    </xf>
    <xf numFmtId="0" fontId="1" fillId="3" borderId="18" xfId="0" applyFont="1" applyFill="1" applyBorder="1" applyAlignment="1" applyProtection="1">
      <alignment horizontal="left" vertical="top" wrapText="1" readingOrder="1"/>
      <protection locked="0"/>
    </xf>
    <xf numFmtId="0" fontId="1" fillId="3" borderId="19" xfId="0" applyFont="1" applyFill="1" applyBorder="1" applyAlignment="1" applyProtection="1">
      <alignment horizontal="left" vertical="top" wrapText="1" readingOrder="1"/>
      <protection locked="0"/>
    </xf>
    <xf numFmtId="0" fontId="1" fillId="0" borderId="12" xfId="0" applyFont="1" applyBorder="1" applyAlignment="1" applyProtection="1">
      <alignment horizontal="left" vertical="top" wrapText="1" readingOrder="1"/>
      <protection locked="0"/>
    </xf>
    <xf numFmtId="0" fontId="1" fillId="0" borderId="20" xfId="0" applyFont="1" applyBorder="1" applyAlignment="1" applyProtection="1">
      <alignment horizontal="left" vertical="top" wrapText="1" readingOrder="1"/>
      <protection locked="0"/>
    </xf>
    <xf numFmtId="0" fontId="1" fillId="0" borderId="13" xfId="0" applyFont="1" applyBorder="1" applyAlignment="1" applyProtection="1">
      <alignment horizontal="left" vertical="top" wrapText="1" readingOrder="1"/>
      <protection locked="0"/>
    </xf>
    <xf numFmtId="0" fontId="1" fillId="0" borderId="21" xfId="0" applyFont="1" applyBorder="1" applyAlignment="1" applyProtection="1">
      <alignment horizontal="left" vertical="top" wrapText="1" readingOrder="1"/>
      <protection locked="0"/>
    </xf>
    <xf numFmtId="0" fontId="1" fillId="0" borderId="22" xfId="0" applyFont="1" applyBorder="1" applyAlignment="1" applyProtection="1">
      <alignment horizontal="left" vertical="top" wrapText="1" readingOrder="1"/>
      <protection locked="0"/>
    </xf>
    <xf numFmtId="0" fontId="1" fillId="0" borderId="23" xfId="0" applyFont="1" applyBorder="1" applyAlignment="1" applyProtection="1">
      <alignment horizontal="left" vertical="top" wrapText="1" readingOrder="1"/>
      <protection locked="0"/>
    </xf>
    <xf numFmtId="0" fontId="2" fillId="2" borderId="0" xfId="0" applyFont="1" applyFill="1" applyAlignment="1">
      <alignment horizontal="center" wrapText="1"/>
    </xf>
    <xf numFmtId="0" fontId="2" fillId="0" borderId="7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8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3" xfId="0" applyFont="1" applyBorder="1" applyAlignment="1">
      <alignment horizontal="center" vertical="center" wrapText="1" readingOrder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4" borderId="10" xfId="0" applyFont="1" applyFill="1" applyBorder="1" applyAlignment="1" applyProtection="1">
      <alignment horizontal="center" vertical="top" wrapText="1" readingOrder="1"/>
      <protection locked="0"/>
    </xf>
    <xf numFmtId="0" fontId="1" fillId="4" borderId="24" xfId="0" applyFont="1" applyFill="1" applyBorder="1" applyAlignment="1" applyProtection="1">
      <alignment horizontal="center" vertical="top" wrapText="1" readingOrder="1"/>
      <protection locked="0"/>
    </xf>
    <xf numFmtId="0" fontId="1" fillId="4" borderId="25" xfId="0" applyFont="1" applyFill="1" applyBorder="1" applyAlignment="1" applyProtection="1">
      <alignment horizontal="center" vertical="top" wrapText="1" readingOrder="1"/>
      <protection locked="0"/>
    </xf>
    <xf numFmtId="0" fontId="1" fillId="3" borderId="10" xfId="0" applyFont="1" applyFill="1" applyBorder="1" applyAlignment="1" applyProtection="1">
      <alignment horizontal="left" vertical="top" wrapText="1" readingOrder="1"/>
      <protection locked="0"/>
    </xf>
    <xf numFmtId="0" fontId="1" fillId="3" borderId="24" xfId="0" applyFont="1" applyFill="1" applyBorder="1" applyAlignment="1" applyProtection="1">
      <alignment horizontal="left" vertical="top" wrapText="1" readingOrder="1"/>
      <protection locked="0"/>
    </xf>
    <xf numFmtId="0" fontId="1" fillId="3" borderId="11" xfId="0" applyFont="1" applyFill="1" applyBorder="1" applyAlignment="1" applyProtection="1">
      <alignment horizontal="left" vertical="top" wrapText="1" readingOrder="1"/>
      <protection locked="0"/>
    </xf>
    <xf numFmtId="0" fontId="1" fillId="0" borderId="21" xfId="0" applyFont="1" applyBorder="1" applyAlignment="1" applyProtection="1">
      <alignment horizontal="center" vertical="top" wrapText="1" readingOrder="1"/>
      <protection locked="0"/>
    </xf>
    <xf numFmtId="0" fontId="1" fillId="0" borderId="22" xfId="0" applyFont="1" applyBorder="1" applyAlignment="1" applyProtection="1">
      <alignment horizontal="center" vertical="top" wrapText="1" readingOrder="1"/>
      <protection locked="0"/>
    </xf>
    <xf numFmtId="0" fontId="1" fillId="0" borderId="23" xfId="0" applyFont="1" applyBorder="1" applyAlignment="1" applyProtection="1">
      <alignment horizontal="center" vertical="top" wrapText="1" readingOrder="1"/>
      <protection locked="0"/>
    </xf>
    <xf numFmtId="0" fontId="1" fillId="3" borderId="20" xfId="0" applyFont="1" applyFill="1" applyBorder="1" applyAlignment="1" applyProtection="1">
      <alignment horizontal="left" vertical="top" wrapText="1" readingOrder="1"/>
      <protection locked="0"/>
    </xf>
    <xf numFmtId="0" fontId="1" fillId="3" borderId="26" xfId="0" applyFont="1" applyFill="1" applyBorder="1" applyAlignment="1" applyProtection="1">
      <alignment horizontal="left" vertical="top" wrapText="1" readingOrder="1"/>
      <protection locked="0"/>
    </xf>
    <xf numFmtId="0" fontId="1" fillId="3" borderId="0" xfId="0" applyFont="1" applyFill="1" applyBorder="1" applyAlignment="1" applyProtection="1">
      <alignment horizontal="left" vertical="top" wrapText="1" readingOrder="1"/>
      <protection locked="0"/>
    </xf>
    <xf numFmtId="0" fontId="1" fillId="3" borderId="27" xfId="0" applyFont="1" applyFill="1" applyBorder="1" applyAlignment="1" applyProtection="1">
      <alignment horizontal="left" vertical="top" wrapText="1" readingOrder="1"/>
      <protection locked="0"/>
    </xf>
    <xf numFmtId="0" fontId="1" fillId="0" borderId="28" xfId="0" applyFont="1" applyBorder="1" applyAlignment="1" applyProtection="1">
      <alignment horizontal="left" vertical="top" wrapText="1" readingOrder="1"/>
      <protection locked="0"/>
    </xf>
    <xf numFmtId="0" fontId="1" fillId="0" borderId="28" xfId="0" applyFont="1" applyBorder="1" applyAlignment="1" applyProtection="1">
      <alignment horizontal="center" vertical="top" wrapText="1" readingOrder="1"/>
      <protection locked="0"/>
    </xf>
    <xf numFmtId="0" fontId="1" fillId="0" borderId="29" xfId="0" applyFont="1" applyBorder="1" applyAlignment="1" applyProtection="1">
      <alignment horizontal="center" vertical="top" wrapText="1" readingOrder="1"/>
      <protection locked="0"/>
    </xf>
    <xf numFmtId="0" fontId="1" fillId="0" borderId="30" xfId="0" applyFont="1" applyBorder="1" applyAlignment="1" applyProtection="1">
      <alignment horizontal="center" vertical="top" wrapText="1" readingOrder="1"/>
      <protection locked="0"/>
    </xf>
    <xf numFmtId="0" fontId="1" fillId="0" borderId="32" xfId="0" applyFont="1" applyBorder="1" applyAlignment="1" applyProtection="1">
      <alignment horizontal="center" vertical="top" wrapText="1" readingOrder="1"/>
      <protection locked="0"/>
    </xf>
    <xf numFmtId="0" fontId="1" fillId="0" borderId="31" xfId="0" applyFont="1" applyBorder="1" applyAlignment="1" applyProtection="1">
      <alignment horizontal="center" vertical="top" wrapText="1" readingOrder="1"/>
      <protection locked="0"/>
    </xf>
    <xf numFmtId="3" fontId="1" fillId="0" borderId="21" xfId="0" applyNumberFormat="1" applyFont="1" applyBorder="1" applyAlignment="1" applyProtection="1">
      <alignment horizontal="center" vertical="top" wrapText="1" readingOrder="1"/>
      <protection locked="0"/>
    </xf>
    <xf numFmtId="3" fontId="1" fillId="0" borderId="22" xfId="0" applyNumberFormat="1" applyFont="1" applyBorder="1" applyAlignment="1" applyProtection="1">
      <alignment horizontal="center" vertical="top" wrapText="1" readingOrder="1"/>
      <protection locked="0"/>
    </xf>
    <xf numFmtId="3" fontId="1" fillId="0" borderId="23" xfId="0" applyNumberFormat="1" applyFont="1" applyBorder="1" applyAlignment="1" applyProtection="1">
      <alignment horizontal="center" vertical="top" wrapText="1" readingOrder="1"/>
      <protection locked="0"/>
    </xf>
    <xf numFmtId="3" fontId="1" fillId="0" borderId="31" xfId="0" applyNumberFormat="1" applyFont="1" applyBorder="1" applyAlignment="1" applyProtection="1">
      <alignment horizontal="center" vertical="top" wrapText="1" readingOrder="1"/>
      <protection locked="0"/>
    </xf>
    <xf numFmtId="3" fontId="1" fillId="0" borderId="32" xfId="0" applyNumberFormat="1" applyFont="1" applyBorder="1" applyAlignment="1" applyProtection="1">
      <alignment horizontal="center" vertical="top" wrapText="1" readingOrder="1"/>
      <protection locked="0"/>
    </xf>
    <xf numFmtId="3" fontId="1" fillId="0" borderId="30" xfId="0" applyNumberFormat="1" applyFont="1" applyBorder="1" applyAlignment="1" applyProtection="1">
      <alignment horizontal="center" vertical="top" wrapText="1" readingOrder="1"/>
      <protection locked="0"/>
    </xf>
    <xf numFmtId="0" fontId="1" fillId="0" borderId="29" xfId="0" applyFont="1" applyBorder="1" applyAlignment="1" applyProtection="1">
      <alignment horizontal="left" vertical="top" wrapText="1" readingOrder="1"/>
      <protection locked="0"/>
    </xf>
    <xf numFmtId="0" fontId="1" fillId="0" borderId="30" xfId="0" applyFont="1" applyBorder="1" applyAlignment="1" applyProtection="1">
      <alignment horizontal="left" vertical="top" wrapText="1" readingOrder="1"/>
      <protection locked="0"/>
    </xf>
    <xf numFmtId="3" fontId="1" fillId="0" borderId="28" xfId="0" applyNumberFormat="1" applyFont="1" applyBorder="1" applyAlignment="1" applyProtection="1">
      <alignment horizontal="center" vertical="top" wrapText="1" readingOrder="1"/>
      <protection locked="0"/>
    </xf>
    <xf numFmtId="3" fontId="1" fillId="0" borderId="29" xfId="0" applyNumberFormat="1" applyFont="1" applyBorder="1" applyAlignment="1" applyProtection="1">
      <alignment horizontal="center" vertical="top" wrapText="1" readingOrder="1"/>
      <protection locked="0"/>
    </xf>
  </cellXfs>
  <cellStyles count="1">
    <cellStyle name="Įprastas" xfId="0" builtinId="0"/>
  </cellStyles>
  <dxfs count="0"/>
  <tableStyles count="0" defaultTableStyle="TableStyleMedium2" defaultPivotStyle="PivotStyleLight16"/>
  <colors>
    <mruColors>
      <color rgb="FFD8F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852"/>
  <sheetViews>
    <sheetView showZeros="0" tabSelected="1" workbookViewId="0">
      <selection activeCell="O15" sqref="O15"/>
    </sheetView>
  </sheetViews>
  <sheetFormatPr defaultRowHeight="15" x14ac:dyDescent="0.25"/>
  <cols>
    <col min="1" max="1" width="9.42578125" style="3" customWidth="1"/>
    <col min="2" max="2" width="34.85546875" style="3" customWidth="1"/>
    <col min="3" max="3" width="37.140625" style="3" customWidth="1"/>
    <col min="4" max="4" width="12.85546875" style="3" customWidth="1"/>
    <col min="5" max="5" width="14" style="3" customWidth="1"/>
    <col min="6" max="6" width="14.28515625" style="3" customWidth="1"/>
    <col min="7" max="7" width="14.85546875" style="3" customWidth="1"/>
    <col min="8" max="8" width="41.140625" style="3" customWidth="1"/>
    <col min="9" max="9" width="7.42578125" style="3" customWidth="1"/>
    <col min="10" max="12" width="13" style="4" customWidth="1"/>
    <col min="13" max="16384" width="9.140625" style="5"/>
  </cols>
  <sheetData>
    <row r="2" spans="1:12" ht="15.75" customHeight="1" x14ac:dyDescent="0.25">
      <c r="H2" s="3" t="s">
        <v>1349</v>
      </c>
    </row>
    <row r="3" spans="1:12" x14ac:dyDescent="0.25">
      <c r="H3" s="3" t="s">
        <v>1347</v>
      </c>
    </row>
    <row r="4" spans="1:12" x14ac:dyDescent="0.25">
      <c r="H4" s="3" t="s">
        <v>1348</v>
      </c>
    </row>
    <row r="6" spans="1:12" s="6" customFormat="1" ht="14.25" x14ac:dyDescent="0.2">
      <c r="A6" s="82" t="s">
        <v>0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</row>
    <row r="9" spans="1:12" s="7" customFormat="1" x14ac:dyDescent="0.25">
      <c r="A9" s="83" t="s">
        <v>1</v>
      </c>
      <c r="B9" s="86" t="s">
        <v>2</v>
      </c>
      <c r="C9" s="86" t="s">
        <v>3</v>
      </c>
      <c r="D9" s="86" t="s">
        <v>4</v>
      </c>
      <c r="E9" s="86" t="s">
        <v>5</v>
      </c>
      <c r="F9" s="86" t="s">
        <v>6</v>
      </c>
      <c r="G9" s="86" t="s">
        <v>7</v>
      </c>
      <c r="H9" s="86" t="s">
        <v>8</v>
      </c>
      <c r="I9" s="89"/>
      <c r="J9" s="89"/>
      <c r="K9" s="89"/>
      <c r="L9" s="90"/>
    </row>
    <row r="10" spans="1:12" s="7" customFormat="1" x14ac:dyDescent="0.25">
      <c r="A10" s="84"/>
      <c r="B10" s="87"/>
      <c r="C10" s="87"/>
      <c r="D10" s="87"/>
      <c r="E10" s="87"/>
      <c r="F10" s="87"/>
      <c r="G10" s="87"/>
      <c r="H10" s="87" t="s">
        <v>9</v>
      </c>
      <c r="I10" s="87" t="s">
        <v>10</v>
      </c>
      <c r="J10" s="87" t="s">
        <v>11</v>
      </c>
      <c r="K10" s="91"/>
      <c r="L10" s="92"/>
    </row>
    <row r="11" spans="1:12" s="7" customFormat="1" ht="15.75" thickBot="1" x14ac:dyDescent="0.3">
      <c r="A11" s="85"/>
      <c r="B11" s="88"/>
      <c r="C11" s="88"/>
      <c r="D11" s="88"/>
      <c r="E11" s="88"/>
      <c r="F11" s="88"/>
      <c r="G11" s="88"/>
      <c r="H11" s="88"/>
      <c r="I11" s="88"/>
      <c r="J11" s="10" t="s">
        <v>12</v>
      </c>
      <c r="K11" s="10" t="s">
        <v>13</v>
      </c>
      <c r="L11" s="11" t="s">
        <v>14</v>
      </c>
    </row>
    <row r="12" spans="1:12" ht="24.75" customHeight="1" thickBot="1" x14ac:dyDescent="0.3">
      <c r="A12" s="12" t="s">
        <v>15</v>
      </c>
      <c r="B12" s="13" t="s">
        <v>16</v>
      </c>
      <c r="C12" s="66" t="s">
        <v>17</v>
      </c>
      <c r="D12" s="67"/>
      <c r="E12" s="14">
        <f>E13+E39+E57+E83+E108+E115</f>
        <v>30653.000000000004</v>
      </c>
      <c r="F12" s="14">
        <f>F13+F39+F57+F83+F108+F115</f>
        <v>29777.899999999998</v>
      </c>
      <c r="G12" s="14">
        <f>G13+G39+G57+G83+G108+G115</f>
        <v>32729.099999999995</v>
      </c>
      <c r="H12" s="93"/>
      <c r="I12" s="94"/>
      <c r="J12" s="94"/>
      <c r="K12" s="94"/>
      <c r="L12" s="95"/>
    </row>
    <row r="13" spans="1:12" ht="45" x14ac:dyDescent="0.25">
      <c r="A13" s="68" t="s">
        <v>18</v>
      </c>
      <c r="B13" s="70" t="s">
        <v>19</v>
      </c>
      <c r="C13" s="71"/>
      <c r="D13" s="72"/>
      <c r="E13" s="15">
        <f>E14+E15+E23+E28+E31+E38</f>
        <v>1313.6000000000001</v>
      </c>
      <c r="F13" s="15">
        <f>F14+F15+F23+F28+F31+F38</f>
        <v>886.9</v>
      </c>
      <c r="G13" s="15">
        <f>G14+G15+G23+G28+G31+G38</f>
        <v>183.1</v>
      </c>
      <c r="H13" s="16" t="s">
        <v>20</v>
      </c>
      <c r="I13" s="17" t="s">
        <v>21</v>
      </c>
      <c r="J13" s="18">
        <v>1095.3</v>
      </c>
      <c r="K13" s="18">
        <v>1075.9000000000001</v>
      </c>
      <c r="L13" s="19">
        <v>1048.5999999999999</v>
      </c>
    </row>
    <row r="14" spans="1:12" ht="30.75" thickBot="1" x14ac:dyDescent="0.3">
      <c r="A14" s="69"/>
      <c r="B14" s="73"/>
      <c r="C14" s="74"/>
      <c r="D14" s="75"/>
      <c r="E14" s="20">
        <v>0</v>
      </c>
      <c r="F14" s="20">
        <v>0</v>
      </c>
      <c r="G14" s="20">
        <v>0</v>
      </c>
      <c r="H14" s="21" t="s">
        <v>22</v>
      </c>
      <c r="I14" s="22" t="s">
        <v>23</v>
      </c>
      <c r="J14" s="22"/>
      <c r="K14" s="22">
        <v>16</v>
      </c>
      <c r="L14" s="23">
        <v>15</v>
      </c>
    </row>
    <row r="15" spans="1:12" ht="45.75" customHeight="1" x14ac:dyDescent="0.25">
      <c r="A15" s="76" t="s">
        <v>24</v>
      </c>
      <c r="B15" s="79" t="s">
        <v>25</v>
      </c>
      <c r="C15" s="79" t="s">
        <v>26</v>
      </c>
      <c r="D15" s="24"/>
      <c r="E15" s="25">
        <f>SUM(E16:E22)</f>
        <v>172.2</v>
      </c>
      <c r="F15" s="25">
        <f>SUM(F16:F22)</f>
        <v>709.19999999999993</v>
      </c>
      <c r="G15" s="25">
        <f>SUM(G16:G22)</f>
        <v>0</v>
      </c>
      <c r="H15" s="24" t="s">
        <v>27</v>
      </c>
      <c r="I15" s="26" t="s">
        <v>28</v>
      </c>
      <c r="J15" s="26">
        <v>30</v>
      </c>
      <c r="K15" s="26">
        <v>30</v>
      </c>
      <c r="L15" s="27">
        <v>30</v>
      </c>
    </row>
    <row r="16" spans="1:12" ht="30" x14ac:dyDescent="0.25">
      <c r="A16" s="77"/>
      <c r="B16" s="80"/>
      <c r="C16" s="80"/>
      <c r="D16" s="1" t="s">
        <v>29</v>
      </c>
      <c r="E16" s="28">
        <v>30</v>
      </c>
      <c r="F16" s="28">
        <v>0</v>
      </c>
      <c r="G16" s="28">
        <v>0</v>
      </c>
      <c r="H16" s="1" t="s">
        <v>30</v>
      </c>
      <c r="I16" s="2" t="s">
        <v>28</v>
      </c>
      <c r="J16" s="2">
        <v>99</v>
      </c>
      <c r="K16" s="2">
        <v>100</v>
      </c>
      <c r="L16" s="29">
        <v>100</v>
      </c>
    </row>
    <row r="17" spans="1:12" ht="30" x14ac:dyDescent="0.25">
      <c r="A17" s="77"/>
      <c r="B17" s="80"/>
      <c r="C17" s="80"/>
      <c r="D17" s="1" t="s">
        <v>31</v>
      </c>
      <c r="E17" s="28">
        <v>9</v>
      </c>
      <c r="F17" s="28">
        <v>117.8</v>
      </c>
      <c r="G17" s="28">
        <v>0</v>
      </c>
      <c r="H17" s="1" t="s">
        <v>32</v>
      </c>
      <c r="I17" s="2" t="s">
        <v>28</v>
      </c>
      <c r="J17" s="2">
        <v>20</v>
      </c>
      <c r="K17" s="2">
        <v>25</v>
      </c>
      <c r="L17" s="29">
        <v>30</v>
      </c>
    </row>
    <row r="18" spans="1:12" ht="30" x14ac:dyDescent="0.25">
      <c r="A18" s="77"/>
      <c r="B18" s="80"/>
      <c r="C18" s="80"/>
      <c r="D18" s="1" t="s">
        <v>33</v>
      </c>
      <c r="E18" s="28">
        <v>133.19999999999999</v>
      </c>
      <c r="F18" s="28">
        <v>591.4</v>
      </c>
      <c r="G18" s="28">
        <v>0</v>
      </c>
      <c r="H18" s="1" t="s">
        <v>34</v>
      </c>
      <c r="I18" s="2" t="s">
        <v>28</v>
      </c>
      <c r="J18" s="2">
        <v>5</v>
      </c>
      <c r="K18" s="2">
        <v>8</v>
      </c>
      <c r="L18" s="29">
        <v>10</v>
      </c>
    </row>
    <row r="19" spans="1:12" ht="45" x14ac:dyDescent="0.25">
      <c r="A19" s="77"/>
      <c r="B19" s="80"/>
      <c r="C19" s="80"/>
      <c r="D19" s="1"/>
      <c r="E19" s="28">
        <v>0</v>
      </c>
      <c r="F19" s="28">
        <v>0</v>
      </c>
      <c r="G19" s="28">
        <v>0</v>
      </c>
      <c r="H19" s="1" t="s">
        <v>35</v>
      </c>
      <c r="I19" s="2" t="s">
        <v>28</v>
      </c>
      <c r="J19" s="2">
        <v>50</v>
      </c>
      <c r="K19" s="2">
        <v>60</v>
      </c>
      <c r="L19" s="29">
        <v>65</v>
      </c>
    </row>
    <row r="20" spans="1:12" ht="45" x14ac:dyDescent="0.25">
      <c r="A20" s="77"/>
      <c r="B20" s="80"/>
      <c r="C20" s="80"/>
      <c r="D20" s="1"/>
      <c r="E20" s="28">
        <v>0</v>
      </c>
      <c r="F20" s="28">
        <v>0</v>
      </c>
      <c r="G20" s="28">
        <v>0</v>
      </c>
      <c r="H20" s="1" t="s">
        <v>36</v>
      </c>
      <c r="I20" s="2" t="s">
        <v>28</v>
      </c>
      <c r="J20" s="2">
        <v>30</v>
      </c>
      <c r="K20" s="2">
        <v>30</v>
      </c>
      <c r="L20" s="29">
        <v>35</v>
      </c>
    </row>
    <row r="21" spans="1:12" ht="30" x14ac:dyDescent="0.25">
      <c r="A21" s="77"/>
      <c r="B21" s="80"/>
      <c r="C21" s="80"/>
      <c r="D21" s="1"/>
      <c r="E21" s="28">
        <v>0</v>
      </c>
      <c r="F21" s="28">
        <v>0</v>
      </c>
      <c r="G21" s="28">
        <v>0</v>
      </c>
      <c r="H21" s="1" t="s">
        <v>37</v>
      </c>
      <c r="I21" s="2" t="s">
        <v>23</v>
      </c>
      <c r="J21" s="2">
        <v>1</v>
      </c>
      <c r="K21" s="2"/>
      <c r="L21" s="29"/>
    </row>
    <row r="22" spans="1:12" ht="30.75" thickBot="1" x14ac:dyDescent="0.3">
      <c r="A22" s="78"/>
      <c r="B22" s="81"/>
      <c r="C22" s="81"/>
      <c r="D22" s="1"/>
      <c r="E22" s="28">
        <v>0</v>
      </c>
      <c r="F22" s="28">
        <v>0</v>
      </c>
      <c r="G22" s="28">
        <v>0</v>
      </c>
      <c r="H22" s="1" t="s">
        <v>38</v>
      </c>
      <c r="I22" s="2" t="s">
        <v>23</v>
      </c>
      <c r="J22" s="2"/>
      <c r="K22" s="2">
        <v>1</v>
      </c>
      <c r="L22" s="29"/>
    </row>
    <row r="23" spans="1:12" ht="45" x14ac:dyDescent="0.25">
      <c r="A23" s="76" t="s">
        <v>39</v>
      </c>
      <c r="B23" s="79" t="s">
        <v>40</v>
      </c>
      <c r="C23" s="79" t="s">
        <v>41</v>
      </c>
      <c r="D23" s="24"/>
      <c r="E23" s="25">
        <f>SUM(E24:E27)</f>
        <v>247</v>
      </c>
      <c r="F23" s="25">
        <f>SUM(F24:F27)</f>
        <v>45</v>
      </c>
      <c r="G23" s="25">
        <f>SUM(G24:G27)</f>
        <v>50</v>
      </c>
      <c r="H23" s="24" t="s">
        <v>42</v>
      </c>
      <c r="I23" s="26" t="s">
        <v>23</v>
      </c>
      <c r="J23" s="26">
        <v>1</v>
      </c>
      <c r="K23" s="26"/>
      <c r="L23" s="27"/>
    </row>
    <row r="24" spans="1:12" ht="30" x14ac:dyDescent="0.25">
      <c r="A24" s="77"/>
      <c r="B24" s="80"/>
      <c r="C24" s="80"/>
      <c r="D24" s="1" t="s">
        <v>33</v>
      </c>
      <c r="E24" s="28">
        <v>87</v>
      </c>
      <c r="F24" s="28">
        <v>0</v>
      </c>
      <c r="G24" s="28">
        <v>0</v>
      </c>
      <c r="H24" s="1" t="s">
        <v>43</v>
      </c>
      <c r="I24" s="2" t="s">
        <v>23</v>
      </c>
      <c r="J24" s="2">
        <v>2</v>
      </c>
      <c r="K24" s="2">
        <v>4</v>
      </c>
      <c r="L24" s="29">
        <v>10</v>
      </c>
    </row>
    <row r="25" spans="1:12" x14ac:dyDescent="0.25">
      <c r="A25" s="77"/>
      <c r="B25" s="80"/>
      <c r="C25" s="80"/>
      <c r="D25" s="1" t="s">
        <v>44</v>
      </c>
      <c r="E25" s="28">
        <v>160</v>
      </c>
      <c r="F25" s="28">
        <v>45</v>
      </c>
      <c r="G25" s="28">
        <v>50</v>
      </c>
      <c r="H25" s="1" t="s">
        <v>45</v>
      </c>
      <c r="I25" s="2" t="s">
        <v>23</v>
      </c>
      <c r="J25" s="2"/>
      <c r="K25" s="2">
        <v>1</v>
      </c>
      <c r="L25" s="29"/>
    </row>
    <row r="26" spans="1:12" ht="45" x14ac:dyDescent="0.25">
      <c r="A26" s="77"/>
      <c r="B26" s="80"/>
      <c r="C26" s="80"/>
      <c r="D26" s="1"/>
      <c r="E26" s="28">
        <v>0</v>
      </c>
      <c r="F26" s="28">
        <v>0</v>
      </c>
      <c r="G26" s="28">
        <v>0</v>
      </c>
      <c r="H26" s="1" t="s">
        <v>46</v>
      </c>
      <c r="I26" s="2" t="s">
        <v>23</v>
      </c>
      <c r="J26" s="2"/>
      <c r="K26" s="2"/>
      <c r="L26" s="29">
        <v>1</v>
      </c>
    </row>
    <row r="27" spans="1:12" ht="45.75" thickBot="1" x14ac:dyDescent="0.3">
      <c r="A27" s="78"/>
      <c r="B27" s="81"/>
      <c r="C27" s="81"/>
      <c r="D27" s="1"/>
      <c r="E27" s="28">
        <v>0</v>
      </c>
      <c r="F27" s="28">
        <v>0</v>
      </c>
      <c r="G27" s="28">
        <v>0</v>
      </c>
      <c r="H27" s="1" t="s">
        <v>47</v>
      </c>
      <c r="I27" s="2" t="s">
        <v>23</v>
      </c>
      <c r="J27" s="2"/>
      <c r="K27" s="2"/>
      <c r="L27" s="29">
        <v>80</v>
      </c>
    </row>
    <row r="28" spans="1:12" ht="28.5" customHeight="1" x14ac:dyDescent="0.25">
      <c r="A28" s="76" t="s">
        <v>48</v>
      </c>
      <c r="B28" s="79" t="s">
        <v>49</v>
      </c>
      <c r="C28" s="79" t="s">
        <v>50</v>
      </c>
      <c r="D28" s="24"/>
      <c r="E28" s="25">
        <f>SUM(E29:E30)</f>
        <v>882</v>
      </c>
      <c r="F28" s="25">
        <f>SUM(F29:F30)</f>
        <v>120</v>
      </c>
      <c r="G28" s="25">
        <f>SUM(G29:G30)</f>
        <v>120</v>
      </c>
      <c r="H28" s="24" t="s">
        <v>51</v>
      </c>
      <c r="I28" s="26" t="s">
        <v>28</v>
      </c>
      <c r="J28" s="26">
        <v>55</v>
      </c>
      <c r="K28" s="26">
        <v>70</v>
      </c>
      <c r="L28" s="27">
        <v>85</v>
      </c>
    </row>
    <row r="29" spans="1:12" ht="38.25" customHeight="1" x14ac:dyDescent="0.25">
      <c r="A29" s="77"/>
      <c r="B29" s="80"/>
      <c r="C29" s="80"/>
      <c r="D29" s="1" t="s">
        <v>29</v>
      </c>
      <c r="E29" s="28">
        <v>762</v>
      </c>
      <c r="F29" s="28">
        <v>0</v>
      </c>
      <c r="G29" s="28">
        <v>0</v>
      </c>
      <c r="H29" s="106" t="s">
        <v>52</v>
      </c>
      <c r="I29" s="106" t="s">
        <v>28</v>
      </c>
      <c r="J29" s="106">
        <v>30</v>
      </c>
      <c r="K29" s="106">
        <v>70</v>
      </c>
      <c r="L29" s="118">
        <v>100</v>
      </c>
    </row>
    <row r="30" spans="1:12" ht="15.75" thickBot="1" x14ac:dyDescent="0.3">
      <c r="A30" s="78"/>
      <c r="B30" s="81"/>
      <c r="C30" s="81"/>
      <c r="D30" s="1" t="s">
        <v>44</v>
      </c>
      <c r="E30" s="28">
        <v>120</v>
      </c>
      <c r="F30" s="28">
        <v>120</v>
      </c>
      <c r="G30" s="28">
        <v>120</v>
      </c>
      <c r="H30" s="81"/>
      <c r="I30" s="81"/>
      <c r="J30" s="81"/>
      <c r="K30" s="81"/>
      <c r="L30" s="119"/>
    </row>
    <row r="31" spans="1:12" ht="27.75" customHeight="1" x14ac:dyDescent="0.25">
      <c r="A31" s="76" t="s">
        <v>53</v>
      </c>
      <c r="B31" s="79" t="s">
        <v>54</v>
      </c>
      <c r="C31" s="79" t="s">
        <v>55</v>
      </c>
      <c r="D31" s="24" t="s">
        <v>44</v>
      </c>
      <c r="E31" s="25">
        <f>SUM(E32:E37)+12.4</f>
        <v>12.4</v>
      </c>
      <c r="F31" s="25">
        <f>SUM(F32:F37)+12.7</f>
        <v>12.7</v>
      </c>
      <c r="G31" s="25">
        <f>SUM(G32:G37)+13.1</f>
        <v>13.1</v>
      </c>
      <c r="H31" s="24" t="s">
        <v>56</v>
      </c>
      <c r="I31" s="26" t="s">
        <v>23</v>
      </c>
      <c r="J31" s="26">
        <v>1</v>
      </c>
      <c r="K31" s="26">
        <v>1</v>
      </c>
      <c r="L31" s="27">
        <v>1</v>
      </c>
    </row>
    <row r="32" spans="1:12" ht="30" x14ac:dyDescent="0.25">
      <c r="A32" s="77"/>
      <c r="B32" s="80"/>
      <c r="C32" s="80"/>
      <c r="D32" s="1"/>
      <c r="E32" s="28">
        <v>0</v>
      </c>
      <c r="F32" s="28">
        <v>0</v>
      </c>
      <c r="G32" s="28">
        <v>0</v>
      </c>
      <c r="H32" s="1" t="s">
        <v>57</v>
      </c>
      <c r="I32" s="2" t="s">
        <v>28</v>
      </c>
      <c r="J32" s="2">
        <v>100</v>
      </c>
      <c r="K32" s="2">
        <v>100</v>
      </c>
      <c r="L32" s="29">
        <v>100</v>
      </c>
    </row>
    <row r="33" spans="1:12" ht="45" x14ac:dyDescent="0.25">
      <c r="A33" s="77"/>
      <c r="B33" s="80"/>
      <c r="C33" s="80"/>
      <c r="D33" s="1"/>
      <c r="E33" s="28">
        <v>0</v>
      </c>
      <c r="F33" s="28">
        <v>0</v>
      </c>
      <c r="G33" s="28">
        <v>0</v>
      </c>
      <c r="H33" s="1" t="s">
        <v>58</v>
      </c>
      <c r="I33" s="2" t="s">
        <v>23</v>
      </c>
      <c r="J33" s="2">
        <v>2</v>
      </c>
      <c r="K33" s="2">
        <v>2</v>
      </c>
      <c r="L33" s="29">
        <v>2</v>
      </c>
    </row>
    <row r="34" spans="1:12" ht="30" x14ac:dyDescent="0.25">
      <c r="A34" s="77"/>
      <c r="B34" s="80"/>
      <c r="C34" s="80"/>
      <c r="D34" s="1"/>
      <c r="E34" s="28">
        <v>0</v>
      </c>
      <c r="F34" s="28">
        <v>0</v>
      </c>
      <c r="G34" s="28">
        <v>0</v>
      </c>
      <c r="H34" s="1" t="s">
        <v>59</v>
      </c>
      <c r="I34" s="2" t="s">
        <v>23</v>
      </c>
      <c r="J34" s="2">
        <v>4</v>
      </c>
      <c r="K34" s="2">
        <v>4</v>
      </c>
      <c r="L34" s="29">
        <v>4</v>
      </c>
    </row>
    <row r="35" spans="1:12" ht="45" x14ac:dyDescent="0.25">
      <c r="A35" s="77"/>
      <c r="B35" s="80"/>
      <c r="C35" s="80"/>
      <c r="D35" s="1"/>
      <c r="E35" s="28">
        <v>0</v>
      </c>
      <c r="F35" s="28">
        <v>0</v>
      </c>
      <c r="G35" s="28">
        <v>0</v>
      </c>
      <c r="H35" s="1" t="s">
        <v>60</v>
      </c>
      <c r="I35" s="2" t="s">
        <v>23</v>
      </c>
      <c r="J35" s="2">
        <v>1</v>
      </c>
      <c r="K35" s="2"/>
      <c r="L35" s="29"/>
    </row>
    <row r="36" spans="1:12" ht="45" x14ac:dyDescent="0.25">
      <c r="A36" s="77"/>
      <c r="B36" s="80"/>
      <c r="C36" s="80"/>
      <c r="D36" s="1"/>
      <c r="E36" s="28">
        <v>0</v>
      </c>
      <c r="F36" s="28">
        <v>0</v>
      </c>
      <c r="G36" s="28">
        <v>0</v>
      </c>
      <c r="H36" s="1" t="s">
        <v>61</v>
      </c>
      <c r="I36" s="2" t="s">
        <v>23</v>
      </c>
      <c r="J36" s="2">
        <v>1</v>
      </c>
      <c r="K36" s="2"/>
      <c r="L36" s="29">
        <v>1</v>
      </c>
    </row>
    <row r="37" spans="1:12" ht="60.75" thickBot="1" x14ac:dyDescent="0.3">
      <c r="A37" s="78"/>
      <c r="B37" s="81"/>
      <c r="C37" s="81"/>
      <c r="D37" s="1"/>
      <c r="E37" s="28">
        <v>0</v>
      </c>
      <c r="F37" s="28">
        <v>0</v>
      </c>
      <c r="G37" s="28">
        <v>0</v>
      </c>
      <c r="H37" s="1" t="s">
        <v>62</v>
      </c>
      <c r="I37" s="2" t="s">
        <v>23</v>
      </c>
      <c r="J37" s="2">
        <v>1</v>
      </c>
      <c r="K37" s="2">
        <v>1</v>
      </c>
      <c r="L37" s="29">
        <v>1</v>
      </c>
    </row>
    <row r="38" spans="1:12" ht="45.75" thickBot="1" x14ac:dyDescent="0.3">
      <c r="A38" s="30" t="s">
        <v>63</v>
      </c>
      <c r="B38" s="31" t="s">
        <v>64</v>
      </c>
      <c r="C38" s="24" t="s">
        <v>65</v>
      </c>
      <c r="D38" s="24"/>
      <c r="E38" s="32">
        <v>0</v>
      </c>
      <c r="F38" s="32">
        <v>0</v>
      </c>
      <c r="G38" s="32">
        <v>0</v>
      </c>
      <c r="H38" s="24" t="s">
        <v>66</v>
      </c>
      <c r="I38" s="26" t="s">
        <v>23</v>
      </c>
      <c r="J38" s="26">
        <v>6</v>
      </c>
      <c r="K38" s="26">
        <v>6</v>
      </c>
      <c r="L38" s="27">
        <v>6</v>
      </c>
    </row>
    <row r="39" spans="1:12" ht="29.25" customHeight="1" thickBot="1" x14ac:dyDescent="0.3">
      <c r="A39" s="33" t="s">
        <v>67</v>
      </c>
      <c r="B39" s="96" t="s">
        <v>68</v>
      </c>
      <c r="C39" s="97"/>
      <c r="D39" s="98"/>
      <c r="E39" s="15">
        <f>E40+E44+E47+E48+E51+E52</f>
        <v>483.3</v>
      </c>
      <c r="F39" s="15">
        <f>F40+F44+F47+F48+F51+F52</f>
        <v>447.6</v>
      </c>
      <c r="G39" s="15">
        <f>G40+G44+G47+G48+G51+G52</f>
        <v>468.9</v>
      </c>
      <c r="H39" s="16" t="s">
        <v>69</v>
      </c>
      <c r="I39" s="17" t="s">
        <v>28</v>
      </c>
      <c r="J39" s="17"/>
      <c r="K39" s="17"/>
      <c r="L39" s="34">
        <v>48</v>
      </c>
    </row>
    <row r="40" spans="1:12" x14ac:dyDescent="0.25">
      <c r="A40" s="76" t="s">
        <v>70</v>
      </c>
      <c r="B40" s="79" t="s">
        <v>71</v>
      </c>
      <c r="C40" s="79" t="s">
        <v>72</v>
      </c>
      <c r="D40" s="24"/>
      <c r="E40" s="25">
        <f>SUM(E41:E43)</f>
        <v>133.6</v>
      </c>
      <c r="F40" s="25">
        <f>SUM(F41:F43)</f>
        <v>123.6</v>
      </c>
      <c r="G40" s="25">
        <f>SUM(G41:G43)</f>
        <v>123.6</v>
      </c>
      <c r="H40" s="24" t="s">
        <v>73</v>
      </c>
      <c r="I40" s="26" t="s">
        <v>23</v>
      </c>
      <c r="J40" s="26">
        <v>12</v>
      </c>
      <c r="K40" s="26">
        <v>12</v>
      </c>
      <c r="L40" s="27">
        <v>12</v>
      </c>
    </row>
    <row r="41" spans="1:12" x14ac:dyDescent="0.25">
      <c r="A41" s="77"/>
      <c r="B41" s="80"/>
      <c r="C41" s="80"/>
      <c r="D41" s="1" t="s">
        <v>29</v>
      </c>
      <c r="E41" s="28">
        <v>10</v>
      </c>
      <c r="F41" s="28">
        <v>0</v>
      </c>
      <c r="G41" s="28">
        <v>0</v>
      </c>
      <c r="H41" s="1" t="s">
        <v>74</v>
      </c>
      <c r="I41" s="2" t="s">
        <v>23</v>
      </c>
      <c r="J41" s="2">
        <v>10</v>
      </c>
      <c r="K41" s="2">
        <v>11</v>
      </c>
      <c r="L41" s="29">
        <v>12</v>
      </c>
    </row>
    <row r="42" spans="1:12" x14ac:dyDescent="0.25">
      <c r="A42" s="77"/>
      <c r="B42" s="80"/>
      <c r="C42" s="80"/>
      <c r="D42" s="1" t="s">
        <v>31</v>
      </c>
      <c r="E42" s="28">
        <v>73.599999999999994</v>
      </c>
      <c r="F42" s="28">
        <v>73.599999999999994</v>
      </c>
      <c r="G42" s="28">
        <v>73.599999999999994</v>
      </c>
      <c r="H42" s="1" t="s">
        <v>75</v>
      </c>
      <c r="I42" s="2" t="s">
        <v>23</v>
      </c>
      <c r="J42" s="2">
        <v>10</v>
      </c>
      <c r="K42" s="2">
        <v>11</v>
      </c>
      <c r="L42" s="29">
        <v>12</v>
      </c>
    </row>
    <row r="43" spans="1:12" ht="45.75" thickBot="1" x14ac:dyDescent="0.3">
      <c r="A43" s="78"/>
      <c r="B43" s="81"/>
      <c r="C43" s="81"/>
      <c r="D43" s="1" t="s">
        <v>44</v>
      </c>
      <c r="E43" s="28">
        <v>50</v>
      </c>
      <c r="F43" s="28">
        <v>50</v>
      </c>
      <c r="G43" s="28">
        <v>50</v>
      </c>
      <c r="H43" s="1" t="s">
        <v>76</v>
      </c>
      <c r="I43" s="2" t="s">
        <v>23</v>
      </c>
      <c r="J43" s="2">
        <v>2</v>
      </c>
      <c r="K43" s="2">
        <v>3</v>
      </c>
      <c r="L43" s="29">
        <v>4</v>
      </c>
    </row>
    <row r="44" spans="1:12" x14ac:dyDescent="0.25">
      <c r="A44" s="76" t="s">
        <v>77</v>
      </c>
      <c r="B44" s="79" t="s">
        <v>78</v>
      </c>
      <c r="C44" s="79" t="s">
        <v>79</v>
      </c>
      <c r="D44" s="24"/>
      <c r="E44" s="25">
        <f>SUM(E45:E46)</f>
        <v>50</v>
      </c>
      <c r="F44" s="25">
        <f>SUM(F45:F46)</f>
        <v>35</v>
      </c>
      <c r="G44" s="25">
        <f>SUM(G45:G46)</f>
        <v>40</v>
      </c>
      <c r="H44" s="24" t="s">
        <v>73</v>
      </c>
      <c r="I44" s="26" t="s">
        <v>23</v>
      </c>
      <c r="J44" s="26">
        <v>17</v>
      </c>
      <c r="K44" s="26">
        <v>18</v>
      </c>
      <c r="L44" s="27">
        <v>19</v>
      </c>
    </row>
    <row r="45" spans="1:12" x14ac:dyDescent="0.25">
      <c r="A45" s="77"/>
      <c r="B45" s="80"/>
      <c r="C45" s="80"/>
      <c r="D45" s="1" t="s">
        <v>29</v>
      </c>
      <c r="E45" s="28">
        <v>15</v>
      </c>
      <c r="F45" s="28">
        <v>0</v>
      </c>
      <c r="G45" s="28">
        <v>0</v>
      </c>
      <c r="H45" s="1" t="s">
        <v>80</v>
      </c>
      <c r="I45" s="2" t="s">
        <v>23</v>
      </c>
      <c r="J45" s="2">
        <v>1</v>
      </c>
      <c r="K45" s="2">
        <v>1</v>
      </c>
      <c r="L45" s="29">
        <v>1</v>
      </c>
    </row>
    <row r="46" spans="1:12" ht="52.5" customHeight="1" thickBot="1" x14ac:dyDescent="0.3">
      <c r="A46" s="78"/>
      <c r="B46" s="81"/>
      <c r="C46" s="81"/>
      <c r="D46" s="1" t="s">
        <v>44</v>
      </c>
      <c r="E46" s="28">
        <v>35</v>
      </c>
      <c r="F46" s="28">
        <v>35</v>
      </c>
      <c r="G46" s="28">
        <v>40</v>
      </c>
      <c r="H46" s="1" t="s">
        <v>81</v>
      </c>
      <c r="I46" s="2" t="s">
        <v>23</v>
      </c>
      <c r="J46" s="2">
        <v>1</v>
      </c>
      <c r="K46" s="2">
        <v>1</v>
      </c>
      <c r="L46" s="29">
        <v>1</v>
      </c>
    </row>
    <row r="47" spans="1:12" ht="41.25" customHeight="1" thickBot="1" x14ac:dyDescent="0.3">
      <c r="A47" s="30" t="s">
        <v>82</v>
      </c>
      <c r="B47" s="31" t="s">
        <v>83</v>
      </c>
      <c r="C47" s="24" t="s">
        <v>84</v>
      </c>
      <c r="D47" s="24" t="s">
        <v>44</v>
      </c>
      <c r="E47" s="32">
        <v>19.399999999999999</v>
      </c>
      <c r="F47" s="32">
        <v>17</v>
      </c>
      <c r="G47" s="32">
        <v>23.3</v>
      </c>
      <c r="H47" s="24" t="s">
        <v>85</v>
      </c>
      <c r="I47" s="26" t="s">
        <v>28</v>
      </c>
      <c r="J47" s="26">
        <v>24</v>
      </c>
      <c r="K47" s="26">
        <v>45</v>
      </c>
      <c r="L47" s="27">
        <v>74</v>
      </c>
    </row>
    <row r="48" spans="1:12" ht="30.75" customHeight="1" x14ac:dyDescent="0.25">
      <c r="A48" s="76" t="s">
        <v>86</v>
      </c>
      <c r="B48" s="79" t="s">
        <v>87</v>
      </c>
      <c r="C48" s="79" t="s">
        <v>88</v>
      </c>
      <c r="D48" s="24"/>
      <c r="E48" s="25">
        <f>SUM(E49:E50)</f>
        <v>232.3</v>
      </c>
      <c r="F48" s="25">
        <f>SUM(F49:F50)</f>
        <v>220</v>
      </c>
      <c r="G48" s="25">
        <f>SUM(G49:G50)</f>
        <v>230</v>
      </c>
      <c r="H48" s="24" t="s">
        <v>89</v>
      </c>
      <c r="I48" s="26" t="s">
        <v>23</v>
      </c>
      <c r="J48" s="26">
        <v>3</v>
      </c>
      <c r="K48" s="26">
        <v>3</v>
      </c>
      <c r="L48" s="27">
        <v>3</v>
      </c>
    </row>
    <row r="49" spans="1:12" x14ac:dyDescent="0.25">
      <c r="A49" s="77"/>
      <c r="B49" s="80"/>
      <c r="C49" s="80"/>
      <c r="D49" s="1" t="s">
        <v>29</v>
      </c>
      <c r="E49" s="28">
        <v>12.3</v>
      </c>
      <c r="F49" s="28">
        <v>0</v>
      </c>
      <c r="G49" s="28">
        <v>0</v>
      </c>
      <c r="H49" s="1" t="s">
        <v>90</v>
      </c>
      <c r="I49" s="2" t="s">
        <v>23</v>
      </c>
      <c r="J49" s="2">
        <v>2</v>
      </c>
      <c r="K49" s="2">
        <v>2</v>
      </c>
      <c r="L49" s="29">
        <v>2</v>
      </c>
    </row>
    <row r="50" spans="1:12" ht="30.75" thickBot="1" x14ac:dyDescent="0.3">
      <c r="A50" s="78"/>
      <c r="B50" s="81"/>
      <c r="C50" s="81"/>
      <c r="D50" s="1" t="s">
        <v>44</v>
      </c>
      <c r="E50" s="28">
        <v>220</v>
      </c>
      <c r="F50" s="28">
        <v>220</v>
      </c>
      <c r="G50" s="28">
        <v>230</v>
      </c>
      <c r="H50" s="1" t="s">
        <v>91</v>
      </c>
      <c r="I50" s="2" t="s">
        <v>23</v>
      </c>
      <c r="J50" s="35">
        <v>7500</v>
      </c>
      <c r="K50" s="35">
        <v>8000</v>
      </c>
      <c r="L50" s="36">
        <v>8500</v>
      </c>
    </row>
    <row r="51" spans="1:12" ht="30.75" thickBot="1" x14ac:dyDescent="0.3">
      <c r="A51" s="30" t="s">
        <v>92</v>
      </c>
      <c r="B51" s="31" t="s">
        <v>93</v>
      </c>
      <c r="C51" s="24" t="s">
        <v>94</v>
      </c>
      <c r="D51" s="24" t="s">
        <v>44</v>
      </c>
      <c r="E51" s="32">
        <v>43</v>
      </c>
      <c r="F51" s="32">
        <v>47</v>
      </c>
      <c r="G51" s="32">
        <v>52</v>
      </c>
      <c r="H51" s="24" t="s">
        <v>95</v>
      </c>
      <c r="I51" s="26" t="s">
        <v>23</v>
      </c>
      <c r="J51" s="26">
        <v>37</v>
      </c>
      <c r="K51" s="26">
        <v>37</v>
      </c>
      <c r="L51" s="27">
        <v>37</v>
      </c>
    </row>
    <row r="52" spans="1:12" x14ac:dyDescent="0.25">
      <c r="A52" s="76" t="s">
        <v>96</v>
      </c>
      <c r="B52" s="79" t="s">
        <v>97</v>
      </c>
      <c r="C52" s="79" t="s">
        <v>98</v>
      </c>
      <c r="D52" s="24" t="s">
        <v>44</v>
      </c>
      <c r="E52" s="25">
        <f>SUM(E53:E56)+5</f>
        <v>5</v>
      </c>
      <c r="F52" s="25">
        <f>SUM(F53:F56)+5</f>
        <v>5</v>
      </c>
      <c r="G52" s="25">
        <f>SUM(G53:G56)</f>
        <v>0</v>
      </c>
      <c r="H52" s="24" t="s">
        <v>99</v>
      </c>
      <c r="I52" s="26" t="s">
        <v>23</v>
      </c>
      <c r="J52" s="26">
        <v>1</v>
      </c>
      <c r="K52" s="26"/>
      <c r="L52" s="27"/>
    </row>
    <row r="53" spans="1:12" ht="30" x14ac:dyDescent="0.25">
      <c r="A53" s="77"/>
      <c r="B53" s="80"/>
      <c r="C53" s="80"/>
      <c r="D53" s="1"/>
      <c r="E53" s="28">
        <v>0</v>
      </c>
      <c r="F53" s="28">
        <v>0</v>
      </c>
      <c r="G53" s="28">
        <v>0</v>
      </c>
      <c r="H53" s="1" t="s">
        <v>100</v>
      </c>
      <c r="I53" s="2" t="s">
        <v>28</v>
      </c>
      <c r="J53" s="2">
        <v>100</v>
      </c>
      <c r="K53" s="2">
        <v>100</v>
      </c>
      <c r="L53" s="29">
        <v>100</v>
      </c>
    </row>
    <row r="54" spans="1:12" ht="45" x14ac:dyDescent="0.25">
      <c r="A54" s="77"/>
      <c r="B54" s="80"/>
      <c r="C54" s="80"/>
      <c r="D54" s="1"/>
      <c r="E54" s="28">
        <v>0</v>
      </c>
      <c r="F54" s="28">
        <v>0</v>
      </c>
      <c r="G54" s="28">
        <v>0</v>
      </c>
      <c r="H54" s="1" t="s">
        <v>101</v>
      </c>
      <c r="I54" s="2" t="s">
        <v>23</v>
      </c>
      <c r="J54" s="2">
        <v>50</v>
      </c>
      <c r="K54" s="2">
        <v>55</v>
      </c>
      <c r="L54" s="29">
        <v>55</v>
      </c>
    </row>
    <row r="55" spans="1:12" ht="45" x14ac:dyDescent="0.25">
      <c r="A55" s="77"/>
      <c r="B55" s="80"/>
      <c r="C55" s="80"/>
      <c r="D55" s="1"/>
      <c r="E55" s="28">
        <v>0</v>
      </c>
      <c r="F55" s="28">
        <v>0</v>
      </c>
      <c r="G55" s="28">
        <v>0</v>
      </c>
      <c r="H55" s="1" t="s">
        <v>102</v>
      </c>
      <c r="I55" s="2" t="s">
        <v>28</v>
      </c>
      <c r="J55" s="2">
        <v>90</v>
      </c>
      <c r="K55" s="2">
        <v>90</v>
      </c>
      <c r="L55" s="29">
        <v>90</v>
      </c>
    </row>
    <row r="56" spans="1:12" ht="45.75" thickBot="1" x14ac:dyDescent="0.3">
      <c r="A56" s="78"/>
      <c r="B56" s="81"/>
      <c r="C56" s="81"/>
      <c r="D56" s="1"/>
      <c r="E56" s="28">
        <v>0</v>
      </c>
      <c r="F56" s="28">
        <v>0</v>
      </c>
      <c r="G56" s="28">
        <v>0</v>
      </c>
      <c r="H56" s="1" t="s">
        <v>103</v>
      </c>
      <c r="I56" s="2" t="s">
        <v>104</v>
      </c>
      <c r="J56" s="2">
        <v>30</v>
      </c>
      <c r="K56" s="2">
        <v>30</v>
      </c>
      <c r="L56" s="29">
        <v>30</v>
      </c>
    </row>
    <row r="57" spans="1:12" ht="30" x14ac:dyDescent="0.25">
      <c r="A57" s="68" t="s">
        <v>105</v>
      </c>
      <c r="B57" s="70" t="s">
        <v>106</v>
      </c>
      <c r="C57" s="71"/>
      <c r="D57" s="72"/>
      <c r="E57" s="15">
        <f>E58+E59+E69+E70+E73+E75+E81+E82</f>
        <v>14693.7</v>
      </c>
      <c r="F57" s="15">
        <f>F58+F59+F69+F70+F73+F75+F81+F82</f>
        <v>14906.6</v>
      </c>
      <c r="G57" s="15">
        <f>G58+G59+G69+G70+G73+G75+G81+G82</f>
        <v>15289.799999999997</v>
      </c>
      <c r="H57" s="16" t="s">
        <v>107</v>
      </c>
      <c r="I57" s="17" t="s">
        <v>23</v>
      </c>
      <c r="J57" s="17">
        <v>295.5</v>
      </c>
      <c r="K57" s="17">
        <v>297.5</v>
      </c>
      <c r="L57" s="34">
        <v>299.5</v>
      </c>
    </row>
    <row r="58" spans="1:12" ht="30.75" thickBot="1" x14ac:dyDescent="0.3">
      <c r="A58" s="69"/>
      <c r="B58" s="73"/>
      <c r="C58" s="74"/>
      <c r="D58" s="75"/>
      <c r="E58" s="20">
        <v>0</v>
      </c>
      <c r="F58" s="20">
        <v>0</v>
      </c>
      <c r="G58" s="20">
        <v>0</v>
      </c>
      <c r="H58" s="21" t="s">
        <v>108</v>
      </c>
      <c r="I58" s="22" t="s">
        <v>23</v>
      </c>
      <c r="J58" s="22">
        <v>2.4</v>
      </c>
      <c r="K58" s="22">
        <v>2.5</v>
      </c>
      <c r="L58" s="23">
        <v>2.5</v>
      </c>
    </row>
    <row r="59" spans="1:12" ht="30" x14ac:dyDescent="0.25">
      <c r="A59" s="76" t="s">
        <v>109</v>
      </c>
      <c r="B59" s="79" t="s">
        <v>110</v>
      </c>
      <c r="C59" s="79" t="s">
        <v>111</v>
      </c>
      <c r="D59" s="24"/>
      <c r="E59" s="25">
        <f>SUM(E60:E68)</f>
        <v>10654.6</v>
      </c>
      <c r="F59" s="25">
        <f>SUM(F60:F68)</f>
        <v>10899</v>
      </c>
      <c r="G59" s="25">
        <f>SUM(G60:G68)</f>
        <v>11164.7</v>
      </c>
      <c r="H59" s="24" t="s">
        <v>112</v>
      </c>
      <c r="I59" s="26" t="s">
        <v>23</v>
      </c>
      <c r="J59" s="26">
        <v>212</v>
      </c>
      <c r="K59" s="26">
        <v>214</v>
      </c>
      <c r="L59" s="27">
        <v>216</v>
      </c>
    </row>
    <row r="60" spans="1:12" ht="30" x14ac:dyDescent="0.25">
      <c r="A60" s="77"/>
      <c r="B60" s="80"/>
      <c r="C60" s="80"/>
      <c r="D60" s="1" t="s">
        <v>29</v>
      </c>
      <c r="E60" s="28">
        <v>7.3</v>
      </c>
      <c r="F60" s="28">
        <v>0</v>
      </c>
      <c r="G60" s="28">
        <v>0</v>
      </c>
      <c r="H60" s="1" t="s">
        <v>113</v>
      </c>
      <c r="I60" s="2" t="s">
        <v>23</v>
      </c>
      <c r="J60" s="2">
        <v>83.5</v>
      </c>
      <c r="K60" s="2">
        <v>83.5</v>
      </c>
      <c r="L60" s="29">
        <v>83.5</v>
      </c>
    </row>
    <row r="61" spans="1:12" ht="30" x14ac:dyDescent="0.25">
      <c r="A61" s="77"/>
      <c r="B61" s="80"/>
      <c r="C61" s="80"/>
      <c r="D61" s="1" t="s">
        <v>44</v>
      </c>
      <c r="E61" s="28">
        <v>10634.7</v>
      </c>
      <c r="F61" s="28">
        <v>10897.5</v>
      </c>
      <c r="G61" s="28">
        <v>11163.2</v>
      </c>
      <c r="H61" s="1" t="s">
        <v>114</v>
      </c>
      <c r="I61" s="2" t="s">
        <v>28</v>
      </c>
      <c r="J61" s="2">
        <v>100</v>
      </c>
      <c r="K61" s="2">
        <v>100</v>
      </c>
      <c r="L61" s="29">
        <v>100</v>
      </c>
    </row>
    <row r="62" spans="1:12" x14ac:dyDescent="0.25">
      <c r="A62" s="77"/>
      <c r="B62" s="80"/>
      <c r="C62" s="80"/>
      <c r="D62" s="1" t="s">
        <v>33</v>
      </c>
      <c r="E62" s="28">
        <v>11.1</v>
      </c>
      <c r="F62" s="28">
        <v>0</v>
      </c>
      <c r="G62" s="28">
        <v>0</v>
      </c>
      <c r="H62" s="1" t="s">
        <v>115</v>
      </c>
      <c r="I62" s="2" t="s">
        <v>23</v>
      </c>
      <c r="J62" s="2">
        <v>60</v>
      </c>
      <c r="K62" s="2">
        <v>60</v>
      </c>
      <c r="L62" s="29">
        <v>60</v>
      </c>
    </row>
    <row r="63" spans="1:12" x14ac:dyDescent="0.25">
      <c r="A63" s="77"/>
      <c r="B63" s="80"/>
      <c r="C63" s="80"/>
      <c r="D63" s="1" t="s">
        <v>116</v>
      </c>
      <c r="E63" s="28">
        <v>1.5</v>
      </c>
      <c r="F63" s="28">
        <v>1.5</v>
      </c>
      <c r="G63" s="28">
        <v>1.5</v>
      </c>
      <c r="H63" s="1" t="s">
        <v>117</v>
      </c>
      <c r="I63" s="2" t="s">
        <v>23</v>
      </c>
      <c r="J63" s="2">
        <v>3</v>
      </c>
      <c r="K63" s="2">
        <v>6</v>
      </c>
      <c r="L63" s="29">
        <v>3</v>
      </c>
    </row>
    <row r="64" spans="1:12" x14ac:dyDescent="0.25">
      <c r="A64" s="77"/>
      <c r="B64" s="80"/>
      <c r="C64" s="80"/>
      <c r="D64" s="1"/>
      <c r="E64" s="28">
        <v>0</v>
      </c>
      <c r="F64" s="28">
        <v>0</v>
      </c>
      <c r="G64" s="28">
        <v>0</v>
      </c>
      <c r="H64" s="1" t="s">
        <v>118</v>
      </c>
      <c r="I64" s="2" t="s">
        <v>23</v>
      </c>
      <c r="J64" s="2">
        <v>3</v>
      </c>
      <c r="K64" s="2">
        <v>2</v>
      </c>
      <c r="L64" s="29">
        <v>3</v>
      </c>
    </row>
    <row r="65" spans="1:12" x14ac:dyDescent="0.25">
      <c r="A65" s="77"/>
      <c r="B65" s="80"/>
      <c r="C65" s="80"/>
      <c r="D65" s="1"/>
      <c r="E65" s="28">
        <v>0</v>
      </c>
      <c r="F65" s="28">
        <v>0</v>
      </c>
      <c r="G65" s="28">
        <v>0</v>
      </c>
      <c r="H65" s="1" t="s">
        <v>119</v>
      </c>
      <c r="I65" s="2" t="s">
        <v>23</v>
      </c>
      <c r="J65" s="2">
        <v>330</v>
      </c>
      <c r="K65" s="2">
        <v>340</v>
      </c>
      <c r="L65" s="29">
        <v>340</v>
      </c>
    </row>
    <row r="66" spans="1:12" x14ac:dyDescent="0.25">
      <c r="A66" s="77"/>
      <c r="B66" s="80"/>
      <c r="C66" s="80"/>
      <c r="D66" s="1"/>
      <c r="E66" s="28">
        <v>0</v>
      </c>
      <c r="F66" s="28">
        <v>0</v>
      </c>
      <c r="G66" s="28">
        <v>0</v>
      </c>
      <c r="H66" s="1" t="s">
        <v>120</v>
      </c>
      <c r="I66" s="2" t="s">
        <v>23</v>
      </c>
      <c r="J66" s="2">
        <v>60</v>
      </c>
      <c r="K66" s="2">
        <v>100</v>
      </c>
      <c r="L66" s="29">
        <v>420</v>
      </c>
    </row>
    <row r="67" spans="1:12" ht="30" x14ac:dyDescent="0.25">
      <c r="A67" s="77"/>
      <c r="B67" s="80"/>
      <c r="C67" s="80"/>
      <c r="D67" s="1"/>
      <c r="E67" s="28">
        <v>0</v>
      </c>
      <c r="F67" s="28">
        <v>0</v>
      </c>
      <c r="G67" s="28">
        <v>0</v>
      </c>
      <c r="H67" s="1" t="s">
        <v>121</v>
      </c>
      <c r="I67" s="2" t="s">
        <v>23</v>
      </c>
      <c r="J67" s="2">
        <v>2</v>
      </c>
      <c r="K67" s="2">
        <v>2</v>
      </c>
      <c r="L67" s="29">
        <v>2</v>
      </c>
    </row>
    <row r="68" spans="1:12" ht="15.75" thickBot="1" x14ac:dyDescent="0.3">
      <c r="A68" s="78"/>
      <c r="B68" s="81"/>
      <c r="C68" s="81"/>
      <c r="D68" s="1"/>
      <c r="E68" s="28">
        <v>0</v>
      </c>
      <c r="F68" s="28">
        <v>0</v>
      </c>
      <c r="G68" s="28">
        <v>0</v>
      </c>
      <c r="H68" s="1" t="s">
        <v>122</v>
      </c>
      <c r="I68" s="2" t="s">
        <v>123</v>
      </c>
      <c r="J68" s="2">
        <v>6</v>
      </c>
      <c r="K68" s="2"/>
      <c r="L68" s="29"/>
    </row>
    <row r="69" spans="1:12" ht="45.75" thickBot="1" x14ac:dyDescent="0.3">
      <c r="A69" s="30" t="s">
        <v>124</v>
      </c>
      <c r="B69" s="31" t="s">
        <v>125</v>
      </c>
      <c r="C69" s="24" t="s">
        <v>126</v>
      </c>
      <c r="D69" s="24" t="s">
        <v>44</v>
      </c>
      <c r="E69" s="32">
        <v>38</v>
      </c>
      <c r="F69" s="32">
        <v>39.9</v>
      </c>
      <c r="G69" s="32">
        <v>41.8</v>
      </c>
      <c r="H69" s="24" t="s">
        <v>127</v>
      </c>
      <c r="I69" s="26" t="s">
        <v>23</v>
      </c>
      <c r="J69" s="26">
        <v>300</v>
      </c>
      <c r="K69" s="26">
        <v>300</v>
      </c>
      <c r="L69" s="27">
        <v>300</v>
      </c>
    </row>
    <row r="70" spans="1:12" ht="30" x14ac:dyDescent="0.25">
      <c r="A70" s="76" t="s">
        <v>128</v>
      </c>
      <c r="B70" s="79" t="s">
        <v>129</v>
      </c>
      <c r="C70" s="79" t="s">
        <v>130</v>
      </c>
      <c r="D70" s="24" t="s">
        <v>44</v>
      </c>
      <c r="E70" s="25">
        <f>SUM(E71:E72)+1164.6</f>
        <v>1164.5999999999999</v>
      </c>
      <c r="F70" s="25">
        <f>SUM(F71:F72)+1193.7</f>
        <v>1193.7</v>
      </c>
      <c r="G70" s="25">
        <f>SUM(G71:G72)+1222.8</f>
        <v>1222.8</v>
      </c>
      <c r="H70" s="24" t="s">
        <v>131</v>
      </c>
      <c r="I70" s="26" t="s">
        <v>28</v>
      </c>
      <c r="J70" s="26">
        <v>100</v>
      </c>
      <c r="K70" s="26">
        <v>100</v>
      </c>
      <c r="L70" s="27">
        <v>100</v>
      </c>
    </row>
    <row r="71" spans="1:12" ht="30" x14ac:dyDescent="0.25">
      <c r="A71" s="77"/>
      <c r="B71" s="80"/>
      <c r="C71" s="80"/>
      <c r="D71" s="1"/>
      <c r="E71" s="28">
        <v>0</v>
      </c>
      <c r="F71" s="28">
        <v>0</v>
      </c>
      <c r="G71" s="28">
        <v>0</v>
      </c>
      <c r="H71" s="1" t="s">
        <v>132</v>
      </c>
      <c r="I71" s="2" t="s">
        <v>28</v>
      </c>
      <c r="J71" s="2">
        <v>100</v>
      </c>
      <c r="K71" s="2">
        <v>100</v>
      </c>
      <c r="L71" s="29">
        <v>100</v>
      </c>
    </row>
    <row r="72" spans="1:12" ht="30.75" thickBot="1" x14ac:dyDescent="0.3">
      <c r="A72" s="78"/>
      <c r="B72" s="81"/>
      <c r="C72" s="81"/>
      <c r="D72" s="1"/>
      <c r="E72" s="28">
        <v>0</v>
      </c>
      <c r="F72" s="28">
        <v>0</v>
      </c>
      <c r="G72" s="28">
        <v>0</v>
      </c>
      <c r="H72" s="1" t="s">
        <v>133</v>
      </c>
      <c r="I72" s="2" t="s">
        <v>23</v>
      </c>
      <c r="J72" s="2">
        <v>11</v>
      </c>
      <c r="K72" s="2">
        <v>11</v>
      </c>
      <c r="L72" s="29">
        <v>11</v>
      </c>
    </row>
    <row r="73" spans="1:12" x14ac:dyDescent="0.25">
      <c r="A73" s="76" t="s">
        <v>134</v>
      </c>
      <c r="B73" s="79" t="s">
        <v>135</v>
      </c>
      <c r="C73" s="79" t="s">
        <v>136</v>
      </c>
      <c r="D73" s="24" t="s">
        <v>44</v>
      </c>
      <c r="E73" s="25">
        <f>SUM(E74:E74)+375.5</f>
        <v>375.5</v>
      </c>
      <c r="F73" s="25">
        <f>SUM(F74:F74)+384.9</f>
        <v>384.9</v>
      </c>
      <c r="G73" s="25">
        <f>SUM(G74:G74)+394.3</f>
        <v>394.3</v>
      </c>
      <c r="H73" s="24" t="s">
        <v>137</v>
      </c>
      <c r="I73" s="26" t="s">
        <v>23</v>
      </c>
      <c r="J73" s="26">
        <v>5</v>
      </c>
      <c r="K73" s="26">
        <v>5</v>
      </c>
      <c r="L73" s="27">
        <v>5</v>
      </c>
    </row>
    <row r="74" spans="1:12" ht="30.75" thickBot="1" x14ac:dyDescent="0.3">
      <c r="A74" s="78"/>
      <c r="B74" s="81"/>
      <c r="C74" s="81"/>
      <c r="D74" s="1"/>
      <c r="E74" s="28">
        <v>0</v>
      </c>
      <c r="F74" s="28">
        <v>0</v>
      </c>
      <c r="G74" s="28">
        <v>0</v>
      </c>
      <c r="H74" s="1" t="s">
        <v>138</v>
      </c>
      <c r="I74" s="2" t="s">
        <v>23</v>
      </c>
      <c r="J74" s="2">
        <v>10</v>
      </c>
      <c r="K74" s="2">
        <v>10</v>
      </c>
      <c r="L74" s="29">
        <v>10</v>
      </c>
    </row>
    <row r="75" spans="1:12" ht="30" x14ac:dyDescent="0.25">
      <c r="A75" s="76" t="s">
        <v>139</v>
      </c>
      <c r="B75" s="79" t="s">
        <v>140</v>
      </c>
      <c r="C75" s="79" t="s">
        <v>141</v>
      </c>
      <c r="D75" s="24"/>
      <c r="E75" s="25">
        <f>SUM(E76:E80)</f>
        <v>1934.7</v>
      </c>
      <c r="F75" s="25">
        <f>SUM(F76:F80)</f>
        <v>1908.3999999999999</v>
      </c>
      <c r="G75" s="25">
        <f>SUM(G76:G80)</f>
        <v>1955</v>
      </c>
      <c r="H75" s="24" t="s">
        <v>142</v>
      </c>
      <c r="I75" s="26" t="s">
        <v>28</v>
      </c>
      <c r="J75" s="26">
        <v>100</v>
      </c>
      <c r="K75" s="26">
        <v>100</v>
      </c>
      <c r="L75" s="27">
        <v>100</v>
      </c>
    </row>
    <row r="76" spans="1:12" ht="30" x14ac:dyDescent="0.25">
      <c r="A76" s="77"/>
      <c r="B76" s="80"/>
      <c r="C76" s="80"/>
      <c r="D76" s="1" t="s">
        <v>29</v>
      </c>
      <c r="E76" s="28">
        <v>72.8</v>
      </c>
      <c r="F76" s="28">
        <v>0</v>
      </c>
      <c r="G76" s="28">
        <v>0</v>
      </c>
      <c r="H76" s="1" t="s">
        <v>143</v>
      </c>
      <c r="I76" s="2" t="s">
        <v>28</v>
      </c>
      <c r="J76" s="2">
        <v>100</v>
      </c>
      <c r="K76" s="2">
        <v>100</v>
      </c>
      <c r="L76" s="29">
        <v>100</v>
      </c>
    </row>
    <row r="77" spans="1:12" ht="30" x14ac:dyDescent="0.25">
      <c r="A77" s="77"/>
      <c r="B77" s="80"/>
      <c r="C77" s="80"/>
      <c r="D77" s="1" t="s">
        <v>144</v>
      </c>
      <c r="E77" s="28">
        <v>0.6</v>
      </c>
      <c r="F77" s="28">
        <v>0.6</v>
      </c>
      <c r="G77" s="28">
        <v>0.6</v>
      </c>
      <c r="H77" s="1" t="s">
        <v>145</v>
      </c>
      <c r="I77" s="2" t="s">
        <v>28</v>
      </c>
      <c r="J77" s="2">
        <v>2</v>
      </c>
      <c r="K77" s="2">
        <v>2</v>
      </c>
      <c r="L77" s="29">
        <v>2</v>
      </c>
    </row>
    <row r="78" spans="1:12" ht="30" x14ac:dyDescent="0.25">
      <c r="A78" s="77"/>
      <c r="B78" s="80"/>
      <c r="C78" s="80"/>
      <c r="D78" s="1" t="s">
        <v>44</v>
      </c>
      <c r="E78" s="28">
        <v>1861.3</v>
      </c>
      <c r="F78" s="28">
        <v>1907.8</v>
      </c>
      <c r="G78" s="28">
        <v>1954.4</v>
      </c>
      <c r="H78" s="1" t="s">
        <v>146</v>
      </c>
      <c r="I78" s="2" t="s">
        <v>28</v>
      </c>
      <c r="J78" s="2">
        <v>20</v>
      </c>
      <c r="K78" s="2">
        <v>20</v>
      </c>
      <c r="L78" s="29">
        <v>20</v>
      </c>
    </row>
    <row r="79" spans="1:12" ht="30" x14ac:dyDescent="0.25">
      <c r="A79" s="77"/>
      <c r="B79" s="80"/>
      <c r="C79" s="80"/>
      <c r="D79" s="1"/>
      <c r="E79" s="28">
        <v>0</v>
      </c>
      <c r="F79" s="28">
        <v>0</v>
      </c>
      <c r="G79" s="28">
        <v>0</v>
      </c>
      <c r="H79" s="1" t="s">
        <v>147</v>
      </c>
      <c r="I79" s="2" t="s">
        <v>28</v>
      </c>
      <c r="J79" s="2">
        <v>5</v>
      </c>
      <c r="K79" s="2">
        <v>5</v>
      </c>
      <c r="L79" s="29">
        <v>5</v>
      </c>
    </row>
    <row r="80" spans="1:12" ht="30.75" thickBot="1" x14ac:dyDescent="0.3">
      <c r="A80" s="78"/>
      <c r="B80" s="81"/>
      <c r="C80" s="81"/>
      <c r="D80" s="1"/>
      <c r="E80" s="28">
        <v>0</v>
      </c>
      <c r="F80" s="28">
        <v>0</v>
      </c>
      <c r="G80" s="28">
        <v>0</v>
      </c>
      <c r="H80" s="1" t="s">
        <v>148</v>
      </c>
      <c r="I80" s="2" t="s">
        <v>28</v>
      </c>
      <c r="J80" s="2">
        <v>50</v>
      </c>
      <c r="K80" s="2">
        <v>50</v>
      </c>
      <c r="L80" s="29">
        <v>50</v>
      </c>
    </row>
    <row r="81" spans="1:12" ht="45.75" thickBot="1" x14ac:dyDescent="0.3">
      <c r="A81" s="30" t="s">
        <v>149</v>
      </c>
      <c r="B81" s="31" t="s">
        <v>150</v>
      </c>
      <c r="C81" s="24" t="s">
        <v>151</v>
      </c>
      <c r="D81" s="24" t="s">
        <v>44</v>
      </c>
      <c r="E81" s="32">
        <v>162.9</v>
      </c>
      <c r="F81" s="32">
        <v>96.7</v>
      </c>
      <c r="G81" s="32">
        <v>106.4</v>
      </c>
      <c r="H81" s="24" t="s">
        <v>152</v>
      </c>
      <c r="I81" s="26" t="s">
        <v>28</v>
      </c>
      <c r="J81" s="26">
        <v>100</v>
      </c>
      <c r="K81" s="26">
        <v>100</v>
      </c>
      <c r="L81" s="27">
        <v>100</v>
      </c>
    </row>
    <row r="82" spans="1:12" ht="30.75" thickBot="1" x14ac:dyDescent="0.3">
      <c r="A82" s="30" t="s">
        <v>153</v>
      </c>
      <c r="B82" s="31" t="s">
        <v>154</v>
      </c>
      <c r="C82" s="24" t="s">
        <v>155</v>
      </c>
      <c r="D82" s="24" t="s">
        <v>44</v>
      </c>
      <c r="E82" s="32">
        <v>363.4</v>
      </c>
      <c r="F82" s="32">
        <v>384</v>
      </c>
      <c r="G82" s="32">
        <v>404.8</v>
      </c>
      <c r="H82" s="24" t="s">
        <v>156</v>
      </c>
      <c r="I82" s="26" t="s">
        <v>28</v>
      </c>
      <c r="J82" s="26">
        <v>100</v>
      </c>
      <c r="K82" s="26">
        <v>100</v>
      </c>
      <c r="L82" s="27">
        <v>100</v>
      </c>
    </row>
    <row r="83" spans="1:12" ht="26.25" customHeight="1" thickBot="1" x14ac:dyDescent="0.3">
      <c r="A83" s="33" t="s">
        <v>157</v>
      </c>
      <c r="B83" s="96" t="s">
        <v>158</v>
      </c>
      <c r="C83" s="97"/>
      <c r="D83" s="98"/>
      <c r="E83" s="15">
        <f>E84+E85+E86+E87+E88+E89+E90+E91+E92+E93+E94+E95+E96+E97+E98+E101+E102+E104+E105+E106+E107</f>
        <v>825.2</v>
      </c>
      <c r="F83" s="15">
        <f>F84+F85+F86+F87+F88+F89+F90+F91+F92+F93+F94+F95+F96+F97+F98+F101+F102+F104+F105+F106+F107</f>
        <v>825.2</v>
      </c>
      <c r="G83" s="15">
        <f>G84+G85+G86+G87+G88+G89+G90+G91+G92+G93+G94+G95+G96+G97+G98+G101+G102+G104+G105+G106+G107</f>
        <v>825.2</v>
      </c>
      <c r="H83" s="16" t="s">
        <v>159</v>
      </c>
      <c r="I83" s="17" t="s">
        <v>23</v>
      </c>
      <c r="J83" s="17">
        <v>21</v>
      </c>
      <c r="K83" s="17">
        <v>21</v>
      </c>
      <c r="L83" s="34">
        <v>21</v>
      </c>
    </row>
    <row r="84" spans="1:12" ht="15.75" thickBot="1" x14ac:dyDescent="0.3">
      <c r="A84" s="30" t="s">
        <v>160</v>
      </c>
      <c r="B84" s="31" t="s">
        <v>161</v>
      </c>
      <c r="C84" s="24" t="s">
        <v>65</v>
      </c>
      <c r="D84" s="24" t="s">
        <v>162</v>
      </c>
      <c r="E84" s="32">
        <v>12</v>
      </c>
      <c r="F84" s="32">
        <v>12</v>
      </c>
      <c r="G84" s="32">
        <v>12</v>
      </c>
      <c r="H84" s="24" t="s">
        <v>163</v>
      </c>
      <c r="I84" s="26" t="s">
        <v>28</v>
      </c>
      <c r="J84" s="26">
        <v>100</v>
      </c>
      <c r="K84" s="26">
        <v>100</v>
      </c>
      <c r="L84" s="27">
        <v>100</v>
      </c>
    </row>
    <row r="85" spans="1:12" x14ac:dyDescent="0.25">
      <c r="A85" s="30" t="s">
        <v>164</v>
      </c>
      <c r="B85" s="31" t="s">
        <v>165</v>
      </c>
      <c r="C85" s="24" t="s">
        <v>166</v>
      </c>
      <c r="D85" s="24" t="s">
        <v>162</v>
      </c>
      <c r="E85" s="32">
        <v>0.8</v>
      </c>
      <c r="F85" s="32">
        <v>0.8</v>
      </c>
      <c r="G85" s="32">
        <v>0.8</v>
      </c>
      <c r="H85" s="24" t="s">
        <v>163</v>
      </c>
      <c r="I85" s="26" t="s">
        <v>28</v>
      </c>
      <c r="J85" s="26">
        <v>100</v>
      </c>
      <c r="K85" s="26">
        <v>100</v>
      </c>
      <c r="L85" s="27">
        <v>100</v>
      </c>
    </row>
    <row r="86" spans="1:12" x14ac:dyDescent="0.25">
      <c r="A86" s="30" t="s">
        <v>167</v>
      </c>
      <c r="B86" s="31" t="s">
        <v>168</v>
      </c>
      <c r="C86" s="24" t="s">
        <v>169</v>
      </c>
      <c r="D86" s="24" t="s">
        <v>162</v>
      </c>
      <c r="E86" s="32">
        <v>39.799999999999997</v>
      </c>
      <c r="F86" s="32">
        <v>39.799999999999997</v>
      </c>
      <c r="G86" s="32">
        <v>39.799999999999997</v>
      </c>
      <c r="H86" s="24" t="s">
        <v>163</v>
      </c>
      <c r="I86" s="26" t="s">
        <v>28</v>
      </c>
      <c r="J86" s="26">
        <v>100</v>
      </c>
      <c r="K86" s="26">
        <v>100</v>
      </c>
      <c r="L86" s="27">
        <v>100</v>
      </c>
    </row>
    <row r="87" spans="1:12" x14ac:dyDescent="0.25">
      <c r="A87" s="30" t="s">
        <v>170</v>
      </c>
      <c r="B87" s="31" t="s">
        <v>171</v>
      </c>
      <c r="C87" s="24" t="s">
        <v>172</v>
      </c>
      <c r="D87" s="24" t="s">
        <v>162</v>
      </c>
      <c r="E87" s="32">
        <v>61.7</v>
      </c>
      <c r="F87" s="32">
        <v>61.7</v>
      </c>
      <c r="G87" s="32">
        <v>61.7</v>
      </c>
      <c r="H87" s="24" t="s">
        <v>163</v>
      </c>
      <c r="I87" s="26" t="s">
        <v>28</v>
      </c>
      <c r="J87" s="26">
        <v>100</v>
      </c>
      <c r="K87" s="26">
        <v>100</v>
      </c>
      <c r="L87" s="27">
        <v>100</v>
      </c>
    </row>
    <row r="88" spans="1:12" x14ac:dyDescent="0.25">
      <c r="A88" s="30" t="s">
        <v>173</v>
      </c>
      <c r="B88" s="31" t="s">
        <v>174</v>
      </c>
      <c r="C88" s="24" t="s">
        <v>172</v>
      </c>
      <c r="D88" s="24" t="s">
        <v>162</v>
      </c>
      <c r="E88" s="32">
        <v>2</v>
      </c>
      <c r="F88" s="32">
        <v>2</v>
      </c>
      <c r="G88" s="32">
        <v>2</v>
      </c>
      <c r="H88" s="24" t="s">
        <v>163</v>
      </c>
      <c r="I88" s="26" t="s">
        <v>28</v>
      </c>
      <c r="J88" s="26">
        <v>100</v>
      </c>
      <c r="K88" s="26">
        <v>100</v>
      </c>
      <c r="L88" s="27">
        <v>100</v>
      </c>
    </row>
    <row r="89" spans="1:12" ht="30" x14ac:dyDescent="0.25">
      <c r="A89" s="30" t="s">
        <v>175</v>
      </c>
      <c r="B89" s="31" t="s">
        <v>176</v>
      </c>
      <c r="C89" s="24" t="s">
        <v>177</v>
      </c>
      <c r="D89" s="24" t="s">
        <v>162</v>
      </c>
      <c r="E89" s="32">
        <v>19</v>
      </c>
      <c r="F89" s="32">
        <v>19</v>
      </c>
      <c r="G89" s="32">
        <v>19</v>
      </c>
      <c r="H89" s="24" t="s">
        <v>163</v>
      </c>
      <c r="I89" s="26" t="s">
        <v>28</v>
      </c>
      <c r="J89" s="26">
        <v>100</v>
      </c>
      <c r="K89" s="26">
        <v>100</v>
      </c>
      <c r="L89" s="27">
        <v>100</v>
      </c>
    </row>
    <row r="90" spans="1:12" x14ac:dyDescent="0.25">
      <c r="A90" s="30" t="s">
        <v>178</v>
      </c>
      <c r="B90" s="31" t="s">
        <v>179</v>
      </c>
      <c r="C90" s="24" t="s">
        <v>180</v>
      </c>
      <c r="D90" s="24" t="s">
        <v>162</v>
      </c>
      <c r="E90" s="32">
        <v>28.3</v>
      </c>
      <c r="F90" s="32">
        <v>28.3</v>
      </c>
      <c r="G90" s="32">
        <v>28.3</v>
      </c>
      <c r="H90" s="24" t="s">
        <v>163</v>
      </c>
      <c r="I90" s="26" t="s">
        <v>28</v>
      </c>
      <c r="J90" s="26">
        <v>100</v>
      </c>
      <c r="K90" s="26">
        <v>100</v>
      </c>
      <c r="L90" s="27">
        <v>100</v>
      </c>
    </row>
    <row r="91" spans="1:12" x14ac:dyDescent="0.25">
      <c r="A91" s="30" t="s">
        <v>181</v>
      </c>
      <c r="B91" s="31" t="s">
        <v>182</v>
      </c>
      <c r="C91" s="24" t="s">
        <v>65</v>
      </c>
      <c r="D91" s="24" t="s">
        <v>162</v>
      </c>
      <c r="E91" s="32">
        <v>80.599999999999994</v>
      </c>
      <c r="F91" s="32">
        <v>80.599999999999994</v>
      </c>
      <c r="G91" s="32">
        <v>80.599999999999994</v>
      </c>
      <c r="H91" s="24" t="s">
        <v>163</v>
      </c>
      <c r="I91" s="26" t="s">
        <v>28</v>
      </c>
      <c r="J91" s="26">
        <v>100</v>
      </c>
      <c r="K91" s="26">
        <v>100</v>
      </c>
      <c r="L91" s="27">
        <v>100</v>
      </c>
    </row>
    <row r="92" spans="1:12" x14ac:dyDescent="0.25">
      <c r="A92" s="30" t="s">
        <v>183</v>
      </c>
      <c r="B92" s="31" t="s">
        <v>184</v>
      </c>
      <c r="C92" s="24" t="s">
        <v>185</v>
      </c>
      <c r="D92" s="24" t="s">
        <v>162</v>
      </c>
      <c r="E92" s="32">
        <v>36</v>
      </c>
      <c r="F92" s="32">
        <v>36</v>
      </c>
      <c r="G92" s="32">
        <v>36</v>
      </c>
      <c r="H92" s="24" t="s">
        <v>163</v>
      </c>
      <c r="I92" s="26" t="s">
        <v>28</v>
      </c>
      <c r="J92" s="26">
        <v>100</v>
      </c>
      <c r="K92" s="26">
        <v>100</v>
      </c>
      <c r="L92" s="27">
        <v>100</v>
      </c>
    </row>
    <row r="93" spans="1:12" x14ac:dyDescent="0.25">
      <c r="A93" s="30" t="s">
        <v>186</v>
      </c>
      <c r="B93" s="31" t="s">
        <v>187</v>
      </c>
      <c r="C93" s="24" t="s">
        <v>185</v>
      </c>
      <c r="D93" s="24" t="s">
        <v>162</v>
      </c>
      <c r="E93" s="32">
        <v>115.9</v>
      </c>
      <c r="F93" s="32">
        <v>115.9</v>
      </c>
      <c r="G93" s="32">
        <v>115.9</v>
      </c>
      <c r="H93" s="24" t="s">
        <v>163</v>
      </c>
      <c r="I93" s="26" t="s">
        <v>28</v>
      </c>
      <c r="J93" s="26">
        <v>100</v>
      </c>
      <c r="K93" s="26">
        <v>100</v>
      </c>
      <c r="L93" s="27">
        <v>100</v>
      </c>
    </row>
    <row r="94" spans="1:12" x14ac:dyDescent="0.25">
      <c r="A94" s="30" t="s">
        <v>188</v>
      </c>
      <c r="B94" s="31" t="s">
        <v>189</v>
      </c>
      <c r="C94" s="24" t="s">
        <v>190</v>
      </c>
      <c r="D94" s="24" t="s">
        <v>162</v>
      </c>
      <c r="E94" s="32">
        <v>11.4</v>
      </c>
      <c r="F94" s="32">
        <v>11.4</v>
      </c>
      <c r="G94" s="32">
        <v>11.4</v>
      </c>
      <c r="H94" s="24" t="s">
        <v>163</v>
      </c>
      <c r="I94" s="26" t="s">
        <v>28</v>
      </c>
      <c r="J94" s="26">
        <v>100</v>
      </c>
      <c r="K94" s="26">
        <v>100</v>
      </c>
      <c r="L94" s="27">
        <v>100</v>
      </c>
    </row>
    <row r="95" spans="1:12" ht="30" x14ac:dyDescent="0.25">
      <c r="A95" s="30" t="s">
        <v>191</v>
      </c>
      <c r="B95" s="31" t="s">
        <v>192</v>
      </c>
      <c r="C95" s="24" t="s">
        <v>193</v>
      </c>
      <c r="D95" s="24" t="s">
        <v>162</v>
      </c>
      <c r="E95" s="32">
        <v>11.3</v>
      </c>
      <c r="F95" s="32">
        <v>11.3</v>
      </c>
      <c r="G95" s="32">
        <v>11.3</v>
      </c>
      <c r="H95" s="24" t="s">
        <v>163</v>
      </c>
      <c r="I95" s="26" t="s">
        <v>28</v>
      </c>
      <c r="J95" s="26">
        <v>100</v>
      </c>
      <c r="K95" s="26">
        <v>100</v>
      </c>
      <c r="L95" s="27">
        <v>100</v>
      </c>
    </row>
    <row r="96" spans="1:12" x14ac:dyDescent="0.25">
      <c r="A96" s="30" t="s">
        <v>194</v>
      </c>
      <c r="B96" s="31" t="s">
        <v>195</v>
      </c>
      <c r="C96" s="24" t="s">
        <v>196</v>
      </c>
      <c r="D96" s="24" t="s">
        <v>162</v>
      </c>
      <c r="E96" s="32">
        <v>23.4</v>
      </c>
      <c r="F96" s="32">
        <v>23.4</v>
      </c>
      <c r="G96" s="32">
        <v>23.4</v>
      </c>
      <c r="H96" s="24" t="s">
        <v>163</v>
      </c>
      <c r="I96" s="26" t="s">
        <v>28</v>
      </c>
      <c r="J96" s="26">
        <v>100</v>
      </c>
      <c r="K96" s="26">
        <v>100</v>
      </c>
      <c r="L96" s="27">
        <v>100</v>
      </c>
    </row>
    <row r="97" spans="1:12" ht="30.75" thickBot="1" x14ac:dyDescent="0.3">
      <c r="A97" s="30" t="s">
        <v>197</v>
      </c>
      <c r="B97" s="31" t="s">
        <v>198</v>
      </c>
      <c r="C97" s="24" t="s">
        <v>193</v>
      </c>
      <c r="D97" s="24" t="s">
        <v>162</v>
      </c>
      <c r="E97" s="32">
        <v>55.7</v>
      </c>
      <c r="F97" s="32">
        <v>55.7</v>
      </c>
      <c r="G97" s="32">
        <v>55.7</v>
      </c>
      <c r="H97" s="24" t="s">
        <v>163</v>
      </c>
      <c r="I97" s="26" t="s">
        <v>28</v>
      </c>
      <c r="J97" s="26">
        <v>100</v>
      </c>
      <c r="K97" s="26">
        <v>100</v>
      </c>
      <c r="L97" s="27">
        <v>100</v>
      </c>
    </row>
    <row r="98" spans="1:12" x14ac:dyDescent="0.25">
      <c r="A98" s="76" t="s">
        <v>199</v>
      </c>
      <c r="B98" s="79" t="s">
        <v>200</v>
      </c>
      <c r="C98" s="79" t="s">
        <v>193</v>
      </c>
      <c r="D98" s="24"/>
      <c r="E98" s="25">
        <f>SUM(E99:E100)</f>
        <v>82.7</v>
      </c>
      <c r="F98" s="25">
        <f>SUM(F99:F100)</f>
        <v>82.7</v>
      </c>
      <c r="G98" s="25">
        <f>SUM(G99:G100)</f>
        <v>82.7</v>
      </c>
      <c r="H98" s="79" t="s">
        <v>163</v>
      </c>
      <c r="I98" s="79" t="s">
        <v>28</v>
      </c>
      <c r="J98" s="99">
        <v>100</v>
      </c>
      <c r="K98" s="99">
        <v>100</v>
      </c>
      <c r="L98" s="111">
        <v>100</v>
      </c>
    </row>
    <row r="99" spans="1:12" x14ac:dyDescent="0.25">
      <c r="A99" s="77"/>
      <c r="B99" s="80"/>
      <c r="C99" s="80"/>
      <c r="D99" s="1" t="s">
        <v>31</v>
      </c>
      <c r="E99" s="28">
        <v>2.5</v>
      </c>
      <c r="F99" s="28">
        <v>2.5</v>
      </c>
      <c r="G99" s="28">
        <v>2.5</v>
      </c>
      <c r="H99" s="80"/>
      <c r="I99" s="80"/>
      <c r="J99" s="100"/>
      <c r="K99" s="100"/>
      <c r="L99" s="110"/>
    </row>
    <row r="100" spans="1:12" ht="15.75" thickBot="1" x14ac:dyDescent="0.3">
      <c r="A100" s="78"/>
      <c r="B100" s="81"/>
      <c r="C100" s="81"/>
      <c r="D100" s="1" t="s">
        <v>162</v>
      </c>
      <c r="E100" s="28">
        <v>80.2</v>
      </c>
      <c r="F100" s="28">
        <v>80.2</v>
      </c>
      <c r="G100" s="28">
        <v>80.2</v>
      </c>
      <c r="H100" s="81"/>
      <c r="I100" s="81"/>
      <c r="J100" s="101"/>
      <c r="K100" s="101"/>
      <c r="L100" s="109"/>
    </row>
    <row r="101" spans="1:12" ht="45.75" thickBot="1" x14ac:dyDescent="0.3">
      <c r="A101" s="30" t="s">
        <v>201</v>
      </c>
      <c r="B101" s="31" t="s">
        <v>202</v>
      </c>
      <c r="C101" s="24" t="s">
        <v>203</v>
      </c>
      <c r="D101" s="24" t="s">
        <v>162</v>
      </c>
      <c r="E101" s="32">
        <v>6.9</v>
      </c>
      <c r="F101" s="32">
        <v>6.9</v>
      </c>
      <c r="G101" s="32">
        <v>6.9</v>
      </c>
      <c r="H101" s="24" t="s">
        <v>163</v>
      </c>
      <c r="I101" s="26" t="s">
        <v>28</v>
      </c>
      <c r="J101" s="26">
        <v>100</v>
      </c>
      <c r="K101" s="26">
        <v>100</v>
      </c>
      <c r="L101" s="27">
        <v>100</v>
      </c>
    </row>
    <row r="102" spans="1:12" ht="30" x14ac:dyDescent="0.25">
      <c r="A102" s="76" t="s">
        <v>204</v>
      </c>
      <c r="B102" s="79" t="s">
        <v>205</v>
      </c>
      <c r="C102" s="79" t="s">
        <v>206</v>
      </c>
      <c r="D102" s="24" t="s">
        <v>162</v>
      </c>
      <c r="E102" s="25">
        <f>SUM(E103:E103)+2.2</f>
        <v>2.2000000000000002</v>
      </c>
      <c r="F102" s="25">
        <f>SUM(F103:F103)+2.2</f>
        <v>2.2000000000000002</v>
      </c>
      <c r="G102" s="25">
        <f>SUM(G103:G103)+2.2</f>
        <v>2.2000000000000002</v>
      </c>
      <c r="H102" s="24" t="s">
        <v>207</v>
      </c>
      <c r="I102" s="26" t="s">
        <v>23</v>
      </c>
      <c r="J102" s="26">
        <v>2</v>
      </c>
      <c r="K102" s="26">
        <v>2</v>
      </c>
      <c r="L102" s="27">
        <v>2</v>
      </c>
    </row>
    <row r="103" spans="1:12" ht="30.75" thickBot="1" x14ac:dyDescent="0.3">
      <c r="A103" s="78"/>
      <c r="B103" s="81"/>
      <c r="C103" s="81"/>
      <c r="D103" s="1"/>
      <c r="E103" s="28">
        <v>0</v>
      </c>
      <c r="F103" s="28">
        <v>0</v>
      </c>
      <c r="G103" s="28">
        <v>0</v>
      </c>
      <c r="H103" s="1" t="s">
        <v>208</v>
      </c>
      <c r="I103" s="2" t="s">
        <v>23</v>
      </c>
      <c r="J103" s="2">
        <v>280</v>
      </c>
      <c r="K103" s="2">
        <v>280</v>
      </c>
      <c r="L103" s="29">
        <v>280</v>
      </c>
    </row>
    <row r="104" spans="1:12" ht="45.75" thickBot="1" x14ac:dyDescent="0.3">
      <c r="A104" s="30" t="s">
        <v>209</v>
      </c>
      <c r="B104" s="31" t="s">
        <v>210</v>
      </c>
      <c r="C104" s="24" t="s">
        <v>211</v>
      </c>
      <c r="D104" s="24" t="s">
        <v>162</v>
      </c>
      <c r="E104" s="32">
        <v>32.6</v>
      </c>
      <c r="F104" s="32">
        <v>32.6</v>
      </c>
      <c r="G104" s="32">
        <v>32.6</v>
      </c>
      <c r="H104" s="24" t="s">
        <v>163</v>
      </c>
      <c r="I104" s="26" t="s">
        <v>28</v>
      </c>
      <c r="J104" s="26">
        <v>100</v>
      </c>
      <c r="K104" s="26">
        <v>100</v>
      </c>
      <c r="L104" s="27">
        <v>100</v>
      </c>
    </row>
    <row r="105" spans="1:12" ht="30" x14ac:dyDescent="0.25">
      <c r="A105" s="30" t="s">
        <v>212</v>
      </c>
      <c r="B105" s="31" t="s">
        <v>213</v>
      </c>
      <c r="C105" s="24" t="s">
        <v>214</v>
      </c>
      <c r="D105" s="24" t="s">
        <v>162</v>
      </c>
      <c r="E105" s="32">
        <v>39.700000000000003</v>
      </c>
      <c r="F105" s="32">
        <v>39.700000000000003</v>
      </c>
      <c r="G105" s="32">
        <v>39.700000000000003</v>
      </c>
      <c r="H105" s="24" t="s">
        <v>215</v>
      </c>
      <c r="I105" s="26" t="s">
        <v>28</v>
      </c>
      <c r="J105" s="26">
        <v>100</v>
      </c>
      <c r="K105" s="26">
        <v>100</v>
      </c>
      <c r="L105" s="27">
        <v>100</v>
      </c>
    </row>
    <row r="106" spans="1:12" ht="45" x14ac:dyDescent="0.25">
      <c r="A106" s="30" t="s">
        <v>216</v>
      </c>
      <c r="B106" s="31" t="s">
        <v>217</v>
      </c>
      <c r="C106" s="24" t="s">
        <v>218</v>
      </c>
      <c r="D106" s="24" t="s">
        <v>162</v>
      </c>
      <c r="E106" s="32">
        <v>131.69999999999999</v>
      </c>
      <c r="F106" s="32">
        <v>131.69999999999999</v>
      </c>
      <c r="G106" s="32">
        <v>131.69999999999999</v>
      </c>
      <c r="H106" s="24" t="s">
        <v>163</v>
      </c>
      <c r="I106" s="26" t="s">
        <v>28</v>
      </c>
      <c r="J106" s="26">
        <v>100</v>
      </c>
      <c r="K106" s="26">
        <v>100</v>
      </c>
      <c r="L106" s="27">
        <v>100</v>
      </c>
    </row>
    <row r="107" spans="1:12" ht="30.75" thickBot="1" x14ac:dyDescent="0.3">
      <c r="A107" s="30" t="s">
        <v>219</v>
      </c>
      <c r="B107" s="31" t="s">
        <v>220</v>
      </c>
      <c r="C107" s="24" t="s">
        <v>221</v>
      </c>
      <c r="D107" s="24" t="s">
        <v>31</v>
      </c>
      <c r="E107" s="32">
        <v>31.5</v>
      </c>
      <c r="F107" s="32">
        <v>31.5</v>
      </c>
      <c r="G107" s="32">
        <v>31.5</v>
      </c>
      <c r="H107" s="24" t="s">
        <v>163</v>
      </c>
      <c r="I107" s="26" t="s">
        <v>28</v>
      </c>
      <c r="J107" s="26">
        <v>100</v>
      </c>
      <c r="K107" s="26">
        <v>100</v>
      </c>
      <c r="L107" s="27">
        <v>100</v>
      </c>
    </row>
    <row r="108" spans="1:12" ht="30.75" thickBot="1" x14ac:dyDescent="0.3">
      <c r="A108" s="33" t="s">
        <v>222</v>
      </c>
      <c r="B108" s="96" t="s">
        <v>223</v>
      </c>
      <c r="C108" s="97"/>
      <c r="D108" s="98"/>
      <c r="E108" s="15">
        <f>E109+E112+E113</f>
        <v>9645</v>
      </c>
      <c r="F108" s="15">
        <f>F109+F112+F113</f>
        <v>9877.9</v>
      </c>
      <c r="G108" s="15">
        <f>G109+G112+G113</f>
        <v>13089.5</v>
      </c>
      <c r="H108" s="16" t="s">
        <v>224</v>
      </c>
      <c r="I108" s="17" t="s">
        <v>28</v>
      </c>
      <c r="J108" s="17">
        <v>10</v>
      </c>
      <c r="K108" s="17">
        <v>10</v>
      </c>
      <c r="L108" s="34">
        <v>10</v>
      </c>
    </row>
    <row r="109" spans="1:12" x14ac:dyDescent="0.25">
      <c r="A109" s="76" t="s">
        <v>225</v>
      </c>
      <c r="B109" s="79" t="s">
        <v>226</v>
      </c>
      <c r="C109" s="79" t="s">
        <v>227</v>
      </c>
      <c r="D109" s="24"/>
      <c r="E109" s="25">
        <f>SUM(E110:E111)</f>
        <v>9300</v>
      </c>
      <c r="F109" s="25">
        <f>SUM(F110:F111)</f>
        <v>9532.9</v>
      </c>
      <c r="G109" s="25">
        <f>SUM(G110:G111)</f>
        <v>12729.5</v>
      </c>
      <c r="H109" s="24" t="s">
        <v>228</v>
      </c>
      <c r="I109" s="26" t="s">
        <v>123</v>
      </c>
      <c r="J109" s="26">
        <v>14</v>
      </c>
      <c r="K109" s="26">
        <v>12</v>
      </c>
      <c r="L109" s="27">
        <v>12</v>
      </c>
    </row>
    <row r="110" spans="1:12" x14ac:dyDescent="0.25">
      <c r="A110" s="77"/>
      <c r="B110" s="80"/>
      <c r="C110" s="80"/>
      <c r="D110" s="1" t="s">
        <v>29</v>
      </c>
      <c r="E110" s="28">
        <v>577.5</v>
      </c>
      <c r="F110" s="28">
        <v>0</v>
      </c>
      <c r="G110" s="28">
        <v>0</v>
      </c>
      <c r="H110" s="106" t="s">
        <v>229</v>
      </c>
      <c r="I110" s="107" t="s">
        <v>28</v>
      </c>
      <c r="J110" s="107">
        <v>100</v>
      </c>
      <c r="K110" s="107">
        <v>100</v>
      </c>
      <c r="L110" s="108">
        <v>100</v>
      </c>
    </row>
    <row r="111" spans="1:12" ht="15.75" thickBot="1" x14ac:dyDescent="0.3">
      <c r="A111" s="78"/>
      <c r="B111" s="81"/>
      <c r="C111" s="81"/>
      <c r="D111" s="1" t="s">
        <v>44</v>
      </c>
      <c r="E111" s="28">
        <v>8722.5</v>
      </c>
      <c r="F111" s="28">
        <v>9532.9</v>
      </c>
      <c r="G111" s="28">
        <v>12729.5</v>
      </c>
      <c r="H111" s="81"/>
      <c r="I111" s="101"/>
      <c r="J111" s="101"/>
      <c r="K111" s="101"/>
      <c r="L111" s="109"/>
    </row>
    <row r="112" spans="1:12" ht="30.75" thickBot="1" x14ac:dyDescent="0.3">
      <c r="A112" s="30" t="s">
        <v>230</v>
      </c>
      <c r="B112" s="31" t="s">
        <v>231</v>
      </c>
      <c r="C112" s="24" t="s">
        <v>84</v>
      </c>
      <c r="D112" s="24" t="s">
        <v>44</v>
      </c>
      <c r="E112" s="32">
        <v>200</v>
      </c>
      <c r="F112" s="32">
        <v>200</v>
      </c>
      <c r="G112" s="32">
        <v>200</v>
      </c>
      <c r="H112" s="24" t="s">
        <v>232</v>
      </c>
      <c r="I112" s="26" t="s">
        <v>28</v>
      </c>
      <c r="J112" s="26">
        <v>100</v>
      </c>
      <c r="K112" s="26">
        <v>100</v>
      </c>
      <c r="L112" s="27">
        <v>100</v>
      </c>
    </row>
    <row r="113" spans="1:12" ht="30" x14ac:dyDescent="0.25">
      <c r="A113" s="76" t="s">
        <v>233</v>
      </c>
      <c r="B113" s="79" t="s">
        <v>234</v>
      </c>
      <c r="C113" s="79" t="s">
        <v>235</v>
      </c>
      <c r="D113" s="24" t="s">
        <v>44</v>
      </c>
      <c r="E113" s="25">
        <f>SUM(E114:E114)+145</f>
        <v>145</v>
      </c>
      <c r="F113" s="25">
        <f>SUM(F114:F114)+145</f>
        <v>145</v>
      </c>
      <c r="G113" s="25">
        <f>SUM(G114:G114)+160</f>
        <v>160</v>
      </c>
      <c r="H113" s="24" t="s">
        <v>236</v>
      </c>
      <c r="I113" s="26" t="s">
        <v>28</v>
      </c>
      <c r="J113" s="26">
        <v>100</v>
      </c>
      <c r="K113" s="26">
        <v>100</v>
      </c>
      <c r="L113" s="27">
        <v>100</v>
      </c>
    </row>
    <row r="114" spans="1:12" ht="30.75" thickBot="1" x14ac:dyDescent="0.3">
      <c r="A114" s="78"/>
      <c r="B114" s="81"/>
      <c r="C114" s="81"/>
      <c r="D114" s="1"/>
      <c r="E114" s="28">
        <v>0</v>
      </c>
      <c r="F114" s="28">
        <v>0</v>
      </c>
      <c r="G114" s="28">
        <v>0</v>
      </c>
      <c r="H114" s="1" t="s">
        <v>237</v>
      </c>
      <c r="I114" s="2" t="s">
        <v>123</v>
      </c>
      <c r="J114" s="2">
        <v>73</v>
      </c>
      <c r="K114" s="2">
        <v>73</v>
      </c>
      <c r="L114" s="29">
        <v>73</v>
      </c>
    </row>
    <row r="115" spans="1:12" ht="40.5" customHeight="1" thickBot="1" x14ac:dyDescent="0.3">
      <c r="A115" s="33" t="s">
        <v>238</v>
      </c>
      <c r="B115" s="96" t="s">
        <v>239</v>
      </c>
      <c r="C115" s="97"/>
      <c r="D115" s="98"/>
      <c r="E115" s="15">
        <f>E116+E117+E118+E121+E124+E125+E126+E128+E129</f>
        <v>3692.2</v>
      </c>
      <c r="F115" s="15">
        <f>F116+F117+F118+F121+F124+F125+F126+F128+F129</f>
        <v>2833.7</v>
      </c>
      <c r="G115" s="15">
        <f>G116+G117+G118+G121+G124+G125+G126+G128+G129</f>
        <v>2872.6</v>
      </c>
      <c r="H115" s="16" t="s">
        <v>240</v>
      </c>
      <c r="I115" s="17" t="s">
        <v>28</v>
      </c>
      <c r="J115" s="17">
        <v>92</v>
      </c>
      <c r="K115" s="17">
        <v>92</v>
      </c>
      <c r="L115" s="34">
        <v>92</v>
      </c>
    </row>
    <row r="116" spans="1:12" ht="45.75" thickBot="1" x14ac:dyDescent="0.3">
      <c r="A116" s="30" t="s">
        <v>241</v>
      </c>
      <c r="B116" s="31" t="s">
        <v>242</v>
      </c>
      <c r="C116" s="24" t="s">
        <v>243</v>
      </c>
      <c r="D116" s="24" t="s">
        <v>44</v>
      </c>
      <c r="E116" s="32">
        <v>50</v>
      </c>
      <c r="F116" s="32">
        <v>50</v>
      </c>
      <c r="G116" s="32">
        <v>50</v>
      </c>
      <c r="H116" s="24" t="s">
        <v>244</v>
      </c>
      <c r="I116" s="26" t="s">
        <v>23</v>
      </c>
      <c r="J116" s="26">
        <v>100</v>
      </c>
      <c r="K116" s="26">
        <v>100</v>
      </c>
      <c r="L116" s="27">
        <v>100</v>
      </c>
    </row>
    <row r="117" spans="1:12" ht="30.75" thickBot="1" x14ac:dyDescent="0.3">
      <c r="A117" s="30" t="s">
        <v>245</v>
      </c>
      <c r="B117" s="31" t="s">
        <v>246</v>
      </c>
      <c r="C117" s="24" t="s">
        <v>243</v>
      </c>
      <c r="D117" s="24" t="s">
        <v>44</v>
      </c>
      <c r="E117" s="32">
        <v>30</v>
      </c>
      <c r="F117" s="32">
        <v>30</v>
      </c>
      <c r="G117" s="32">
        <v>30</v>
      </c>
      <c r="H117" s="24" t="s">
        <v>247</v>
      </c>
      <c r="I117" s="26" t="s">
        <v>28</v>
      </c>
      <c r="J117" s="26">
        <v>100</v>
      </c>
      <c r="K117" s="26">
        <v>100</v>
      </c>
      <c r="L117" s="27">
        <v>100</v>
      </c>
    </row>
    <row r="118" spans="1:12" ht="23.25" customHeight="1" x14ac:dyDescent="0.25">
      <c r="A118" s="76" t="s">
        <v>248</v>
      </c>
      <c r="B118" s="79" t="s">
        <v>249</v>
      </c>
      <c r="C118" s="79" t="s">
        <v>250</v>
      </c>
      <c r="D118" s="24"/>
      <c r="E118" s="25">
        <f>SUM(E119:E120)</f>
        <v>105</v>
      </c>
      <c r="F118" s="25">
        <f>SUM(F119:F120)</f>
        <v>70</v>
      </c>
      <c r="G118" s="25">
        <f>SUM(G119:G120)</f>
        <v>70</v>
      </c>
      <c r="H118" s="79" t="s">
        <v>251</v>
      </c>
      <c r="I118" s="99" t="s">
        <v>123</v>
      </c>
      <c r="J118" s="99">
        <v>5</v>
      </c>
      <c r="K118" s="99">
        <v>5</v>
      </c>
      <c r="L118" s="111">
        <v>5</v>
      </c>
    </row>
    <row r="119" spans="1:12" x14ac:dyDescent="0.25">
      <c r="A119" s="77"/>
      <c r="B119" s="80"/>
      <c r="C119" s="80"/>
      <c r="D119" s="1" t="s">
        <v>29</v>
      </c>
      <c r="E119" s="28">
        <v>35</v>
      </c>
      <c r="F119" s="28">
        <v>0</v>
      </c>
      <c r="G119" s="28">
        <v>0</v>
      </c>
      <c r="H119" s="80"/>
      <c r="I119" s="100"/>
      <c r="J119" s="100"/>
      <c r="K119" s="100"/>
      <c r="L119" s="110"/>
    </row>
    <row r="120" spans="1:12" ht="15.75" thickBot="1" x14ac:dyDescent="0.3">
      <c r="A120" s="78"/>
      <c r="B120" s="81"/>
      <c r="C120" s="81"/>
      <c r="D120" s="1" t="s">
        <v>44</v>
      </c>
      <c r="E120" s="28">
        <v>70</v>
      </c>
      <c r="F120" s="28">
        <v>70</v>
      </c>
      <c r="G120" s="28">
        <v>70</v>
      </c>
      <c r="H120" s="81"/>
      <c r="I120" s="101"/>
      <c r="J120" s="101"/>
      <c r="K120" s="101"/>
      <c r="L120" s="109"/>
    </row>
    <row r="121" spans="1:12" ht="22.5" customHeight="1" x14ac:dyDescent="0.25">
      <c r="A121" s="76" t="s">
        <v>252</v>
      </c>
      <c r="B121" s="79" t="s">
        <v>253</v>
      </c>
      <c r="C121" s="79" t="s">
        <v>243</v>
      </c>
      <c r="D121" s="24"/>
      <c r="E121" s="25">
        <f>SUM(E122:E123)</f>
        <v>2830.5</v>
      </c>
      <c r="F121" s="25">
        <f>SUM(F122:F123)</f>
        <v>2010.2</v>
      </c>
      <c r="G121" s="25">
        <f>SUM(G122:G123)</f>
        <v>2049.6</v>
      </c>
      <c r="H121" s="79" t="s">
        <v>254</v>
      </c>
      <c r="I121" s="99" t="s">
        <v>28</v>
      </c>
      <c r="J121" s="99">
        <v>100</v>
      </c>
      <c r="K121" s="99">
        <v>100</v>
      </c>
      <c r="L121" s="111">
        <v>100</v>
      </c>
    </row>
    <row r="122" spans="1:12" x14ac:dyDescent="0.25">
      <c r="A122" s="77"/>
      <c r="B122" s="80"/>
      <c r="C122" s="80"/>
      <c r="D122" s="1" t="s">
        <v>29</v>
      </c>
      <c r="E122" s="28">
        <v>863.6</v>
      </c>
      <c r="F122" s="28">
        <v>0</v>
      </c>
      <c r="G122" s="28">
        <v>0</v>
      </c>
      <c r="H122" s="80"/>
      <c r="I122" s="100"/>
      <c r="J122" s="100"/>
      <c r="K122" s="100"/>
      <c r="L122" s="110"/>
    </row>
    <row r="123" spans="1:12" ht="15.75" thickBot="1" x14ac:dyDescent="0.3">
      <c r="A123" s="78"/>
      <c r="B123" s="81"/>
      <c r="C123" s="81"/>
      <c r="D123" s="1" t="s">
        <v>44</v>
      </c>
      <c r="E123" s="28">
        <v>1966.9</v>
      </c>
      <c r="F123" s="28">
        <v>2010.2</v>
      </c>
      <c r="G123" s="28">
        <v>2049.6</v>
      </c>
      <c r="H123" s="81"/>
      <c r="I123" s="101"/>
      <c r="J123" s="101"/>
      <c r="K123" s="101"/>
      <c r="L123" s="109"/>
    </row>
    <row r="124" spans="1:12" ht="45.75" thickBot="1" x14ac:dyDescent="0.3">
      <c r="A124" s="30" t="s">
        <v>255</v>
      </c>
      <c r="B124" s="31" t="s">
        <v>256</v>
      </c>
      <c r="C124" s="24" t="s">
        <v>243</v>
      </c>
      <c r="D124" s="24" t="s">
        <v>44</v>
      </c>
      <c r="E124" s="32">
        <v>54.5</v>
      </c>
      <c r="F124" s="32">
        <v>54.5</v>
      </c>
      <c r="G124" s="32">
        <v>54.5</v>
      </c>
      <c r="H124" s="24" t="s">
        <v>257</v>
      </c>
      <c r="I124" s="26" t="s">
        <v>28</v>
      </c>
      <c r="J124" s="26">
        <v>100</v>
      </c>
      <c r="K124" s="26">
        <v>100</v>
      </c>
      <c r="L124" s="27">
        <v>100</v>
      </c>
    </row>
    <row r="125" spans="1:12" ht="45.75" thickBot="1" x14ac:dyDescent="0.3">
      <c r="A125" s="30" t="s">
        <v>258</v>
      </c>
      <c r="B125" s="31" t="s">
        <v>259</v>
      </c>
      <c r="C125" s="24" t="s">
        <v>243</v>
      </c>
      <c r="D125" s="24" t="s">
        <v>44</v>
      </c>
      <c r="E125" s="32">
        <v>2</v>
      </c>
      <c r="F125" s="32">
        <v>2.5</v>
      </c>
      <c r="G125" s="32">
        <v>2</v>
      </c>
      <c r="H125" s="24" t="s">
        <v>260</v>
      </c>
      <c r="I125" s="26" t="s">
        <v>23</v>
      </c>
      <c r="J125" s="26">
        <v>3</v>
      </c>
      <c r="K125" s="26">
        <v>3</v>
      </c>
      <c r="L125" s="27">
        <v>3</v>
      </c>
    </row>
    <row r="126" spans="1:12" ht="40.5" customHeight="1" x14ac:dyDescent="0.25">
      <c r="A126" s="76" t="s">
        <v>261</v>
      </c>
      <c r="B126" s="79" t="s">
        <v>262</v>
      </c>
      <c r="C126" s="79" t="s">
        <v>243</v>
      </c>
      <c r="D126" s="24" t="s">
        <v>44</v>
      </c>
      <c r="E126" s="25">
        <f>SUM(E127:E127)+440</f>
        <v>440</v>
      </c>
      <c r="F126" s="25">
        <f>SUM(F127:F127)+440</f>
        <v>440</v>
      </c>
      <c r="G126" s="25">
        <f>SUM(G127:G127)+440</f>
        <v>440</v>
      </c>
      <c r="H126" s="24" t="s">
        <v>263</v>
      </c>
      <c r="I126" s="26" t="s">
        <v>23</v>
      </c>
      <c r="J126" s="26">
        <v>50</v>
      </c>
      <c r="K126" s="26">
        <v>60</v>
      </c>
      <c r="L126" s="27">
        <v>60</v>
      </c>
    </row>
    <row r="127" spans="1:12" ht="30.75" thickBot="1" x14ac:dyDescent="0.3">
      <c r="A127" s="78"/>
      <c r="B127" s="81"/>
      <c r="C127" s="81"/>
      <c r="D127" s="1"/>
      <c r="E127" s="28">
        <v>0</v>
      </c>
      <c r="F127" s="28">
        <v>0</v>
      </c>
      <c r="G127" s="28">
        <v>0</v>
      </c>
      <c r="H127" s="1" t="s">
        <v>264</v>
      </c>
      <c r="I127" s="2" t="s">
        <v>23</v>
      </c>
      <c r="J127" s="2">
        <v>850</v>
      </c>
      <c r="K127" s="2">
        <v>850</v>
      </c>
      <c r="L127" s="29">
        <v>850</v>
      </c>
    </row>
    <row r="128" spans="1:12" ht="30.75" thickBot="1" x14ac:dyDescent="0.3">
      <c r="A128" s="30" t="s">
        <v>265</v>
      </c>
      <c r="B128" s="31" t="s">
        <v>266</v>
      </c>
      <c r="C128" s="24" t="s">
        <v>243</v>
      </c>
      <c r="D128" s="24" t="s">
        <v>44</v>
      </c>
      <c r="E128" s="32">
        <v>3</v>
      </c>
      <c r="F128" s="32">
        <v>3</v>
      </c>
      <c r="G128" s="32">
        <v>3</v>
      </c>
      <c r="H128" s="24" t="s">
        <v>267</v>
      </c>
      <c r="I128" s="26" t="s">
        <v>23</v>
      </c>
      <c r="J128" s="26">
        <v>11</v>
      </c>
      <c r="K128" s="26">
        <v>11</v>
      </c>
      <c r="L128" s="27">
        <v>11</v>
      </c>
    </row>
    <row r="129" spans="1:12" ht="27.75" customHeight="1" x14ac:dyDescent="0.25">
      <c r="A129" s="76" t="s">
        <v>268</v>
      </c>
      <c r="B129" s="79" t="s">
        <v>269</v>
      </c>
      <c r="C129" s="79" t="s">
        <v>243</v>
      </c>
      <c r="D129" s="24"/>
      <c r="E129" s="25">
        <f>SUM(E130:E131)</f>
        <v>177.2</v>
      </c>
      <c r="F129" s="25">
        <f>SUM(F130:F131)</f>
        <v>173.5</v>
      </c>
      <c r="G129" s="25">
        <f>SUM(G130:G131)</f>
        <v>173.5</v>
      </c>
      <c r="H129" s="24" t="s">
        <v>270</v>
      </c>
      <c r="I129" s="26" t="s">
        <v>23</v>
      </c>
      <c r="J129" s="26">
        <v>50</v>
      </c>
      <c r="K129" s="26">
        <v>50</v>
      </c>
      <c r="L129" s="27">
        <v>50</v>
      </c>
    </row>
    <row r="130" spans="1:12" ht="38.25" customHeight="1" x14ac:dyDescent="0.25">
      <c r="A130" s="77"/>
      <c r="B130" s="80"/>
      <c r="C130" s="80"/>
      <c r="D130" s="1" t="s">
        <v>162</v>
      </c>
      <c r="E130" s="28">
        <v>173.5</v>
      </c>
      <c r="F130" s="28">
        <v>173.5</v>
      </c>
      <c r="G130" s="28">
        <v>173.5</v>
      </c>
      <c r="H130" s="106" t="s">
        <v>271</v>
      </c>
      <c r="I130" s="107" t="s">
        <v>23</v>
      </c>
      <c r="J130" s="107">
        <v>2</v>
      </c>
      <c r="K130" s="107">
        <v>2</v>
      </c>
      <c r="L130" s="108">
        <v>2</v>
      </c>
    </row>
    <row r="131" spans="1:12" ht="15.75" thickBot="1" x14ac:dyDescent="0.3">
      <c r="A131" s="78"/>
      <c r="B131" s="81"/>
      <c r="C131" s="81"/>
      <c r="D131" s="1" t="s">
        <v>31</v>
      </c>
      <c r="E131" s="28">
        <v>3.7</v>
      </c>
      <c r="F131" s="28"/>
      <c r="G131" s="28"/>
      <c r="H131" s="81"/>
      <c r="I131" s="101"/>
      <c r="J131" s="101"/>
      <c r="K131" s="101"/>
      <c r="L131" s="109"/>
    </row>
    <row r="132" spans="1:12" ht="29.25" customHeight="1" thickBot="1" x14ac:dyDescent="0.3">
      <c r="A132" s="12" t="s">
        <v>272</v>
      </c>
      <c r="B132" s="13" t="s">
        <v>273</v>
      </c>
      <c r="C132" s="66" t="s">
        <v>177</v>
      </c>
      <c r="D132" s="67"/>
      <c r="E132" s="14">
        <f>E133+E167</f>
        <v>10291.199999999999</v>
      </c>
      <c r="F132" s="14">
        <f>F133+F167</f>
        <v>9651.2000000000007</v>
      </c>
      <c r="G132" s="14">
        <f>G133+G167</f>
        <v>9054.8000000000011</v>
      </c>
      <c r="H132" s="93"/>
      <c r="I132" s="94"/>
      <c r="J132" s="94"/>
      <c r="K132" s="94"/>
      <c r="L132" s="95"/>
    </row>
    <row r="133" spans="1:12" x14ac:dyDescent="0.25">
      <c r="A133" s="68" t="s">
        <v>274</v>
      </c>
      <c r="B133" s="70" t="s">
        <v>275</v>
      </c>
      <c r="C133" s="71"/>
      <c r="D133" s="72"/>
      <c r="E133" s="15">
        <f>E134+E135+E136+E137+E138+E139+E140+E141+E151+E152+E157+E161+E165+E166</f>
        <v>8694.1999999999989</v>
      </c>
      <c r="F133" s="15">
        <f>F134+F135+F136+F137+F138+F139+F140+F141+F151+F152+F157+F161+F165+F166</f>
        <v>8481.6</v>
      </c>
      <c r="G133" s="15">
        <f>G134+G135+G136+G137+G138+G139+G140+G141+G151+G152+G157+G161+G165+G166</f>
        <v>8771.2000000000007</v>
      </c>
      <c r="H133" s="16" t="s">
        <v>276</v>
      </c>
      <c r="I133" s="17" t="s">
        <v>104</v>
      </c>
      <c r="J133" s="37">
        <v>992700</v>
      </c>
      <c r="K133" s="37">
        <v>1002400</v>
      </c>
      <c r="L133" s="38">
        <v>1012100</v>
      </c>
    </row>
    <row r="134" spans="1:12" x14ac:dyDescent="0.25">
      <c r="A134" s="102"/>
      <c r="B134" s="103"/>
      <c r="C134" s="104"/>
      <c r="D134" s="105"/>
      <c r="E134" s="20">
        <v>0</v>
      </c>
      <c r="F134" s="20">
        <v>0</v>
      </c>
      <c r="G134" s="20">
        <v>0</v>
      </c>
      <c r="H134" s="21" t="s">
        <v>277</v>
      </c>
      <c r="I134" s="22" t="s">
        <v>104</v>
      </c>
      <c r="J134" s="39">
        <v>368000</v>
      </c>
      <c r="K134" s="39">
        <v>370000</v>
      </c>
      <c r="L134" s="40">
        <v>372000</v>
      </c>
    </row>
    <row r="135" spans="1:12" x14ac:dyDescent="0.25">
      <c r="A135" s="102"/>
      <c r="B135" s="103"/>
      <c r="C135" s="104"/>
      <c r="D135" s="105"/>
      <c r="E135" s="20">
        <v>0</v>
      </c>
      <c r="F135" s="20">
        <v>0</v>
      </c>
      <c r="G135" s="20">
        <v>0</v>
      </c>
      <c r="H135" s="21" t="s">
        <v>278</v>
      </c>
      <c r="I135" s="22" t="s">
        <v>104</v>
      </c>
      <c r="J135" s="39">
        <v>130200</v>
      </c>
      <c r="K135" s="39">
        <v>131400</v>
      </c>
      <c r="L135" s="40">
        <v>132600</v>
      </c>
    </row>
    <row r="136" spans="1:12" x14ac:dyDescent="0.25">
      <c r="A136" s="102"/>
      <c r="B136" s="103"/>
      <c r="C136" s="104"/>
      <c r="D136" s="105"/>
      <c r="E136" s="20">
        <v>0</v>
      </c>
      <c r="F136" s="20">
        <v>0</v>
      </c>
      <c r="G136" s="20">
        <v>0</v>
      </c>
      <c r="H136" s="21" t="s">
        <v>279</v>
      </c>
      <c r="I136" s="22" t="s">
        <v>104</v>
      </c>
      <c r="J136" s="39">
        <v>63400</v>
      </c>
      <c r="K136" s="39">
        <v>63800</v>
      </c>
      <c r="L136" s="40">
        <v>64200</v>
      </c>
    </row>
    <row r="137" spans="1:12" x14ac:dyDescent="0.25">
      <c r="A137" s="102"/>
      <c r="B137" s="103"/>
      <c r="C137" s="104"/>
      <c r="D137" s="105"/>
      <c r="E137" s="20">
        <v>0</v>
      </c>
      <c r="F137" s="20">
        <v>0</v>
      </c>
      <c r="G137" s="20">
        <v>0</v>
      </c>
      <c r="H137" s="21" t="s">
        <v>280</v>
      </c>
      <c r="I137" s="22" t="s">
        <v>104</v>
      </c>
      <c r="J137" s="39">
        <v>30200</v>
      </c>
      <c r="K137" s="39">
        <v>31400</v>
      </c>
      <c r="L137" s="40">
        <v>32600</v>
      </c>
    </row>
    <row r="138" spans="1:12" x14ac:dyDescent="0.25">
      <c r="A138" s="102"/>
      <c r="B138" s="103"/>
      <c r="C138" s="104"/>
      <c r="D138" s="105"/>
      <c r="E138" s="20">
        <v>0</v>
      </c>
      <c r="F138" s="20">
        <v>0</v>
      </c>
      <c r="G138" s="20">
        <v>0</v>
      </c>
      <c r="H138" s="21" t="s">
        <v>281</v>
      </c>
      <c r="I138" s="22" t="s">
        <v>104</v>
      </c>
      <c r="J138" s="39">
        <v>107800</v>
      </c>
      <c r="K138" s="39">
        <v>110600</v>
      </c>
      <c r="L138" s="40">
        <v>113400</v>
      </c>
    </row>
    <row r="139" spans="1:12" x14ac:dyDescent="0.25">
      <c r="A139" s="102"/>
      <c r="B139" s="103"/>
      <c r="C139" s="104"/>
      <c r="D139" s="105"/>
      <c r="E139" s="20">
        <v>0</v>
      </c>
      <c r="F139" s="20">
        <v>0</v>
      </c>
      <c r="G139" s="20">
        <v>0</v>
      </c>
      <c r="H139" s="21" t="s">
        <v>282</v>
      </c>
      <c r="I139" s="22" t="s">
        <v>104</v>
      </c>
      <c r="J139" s="39">
        <v>293100</v>
      </c>
      <c r="K139" s="39">
        <v>295200</v>
      </c>
      <c r="L139" s="40">
        <v>297300</v>
      </c>
    </row>
    <row r="140" spans="1:12" ht="45.75" thickBot="1" x14ac:dyDescent="0.3">
      <c r="A140" s="69"/>
      <c r="B140" s="73"/>
      <c r="C140" s="74"/>
      <c r="D140" s="75"/>
      <c r="E140" s="20">
        <v>0</v>
      </c>
      <c r="F140" s="20">
        <v>0</v>
      </c>
      <c r="G140" s="20">
        <v>0</v>
      </c>
      <c r="H140" s="21" t="s">
        <v>283</v>
      </c>
      <c r="I140" s="22" t="s">
        <v>23</v>
      </c>
      <c r="J140" s="22">
        <v>0</v>
      </c>
      <c r="K140" s="22">
        <v>1</v>
      </c>
      <c r="L140" s="23">
        <v>1</v>
      </c>
    </row>
    <row r="141" spans="1:12" x14ac:dyDescent="0.25">
      <c r="A141" s="76" t="s">
        <v>284</v>
      </c>
      <c r="B141" s="79" t="s">
        <v>285</v>
      </c>
      <c r="C141" s="79" t="s">
        <v>286</v>
      </c>
      <c r="D141" s="24"/>
      <c r="E141" s="25">
        <f>SUM(E142:E150)</f>
        <v>7289.5999999999995</v>
      </c>
      <c r="F141" s="25">
        <f>SUM(F142:F150)</f>
        <v>7003.4</v>
      </c>
      <c r="G141" s="25">
        <f>SUM(G142:G150)</f>
        <v>7155</v>
      </c>
      <c r="H141" s="24" t="s">
        <v>287</v>
      </c>
      <c r="I141" s="26" t="s">
        <v>23</v>
      </c>
      <c r="J141" s="26">
        <v>74</v>
      </c>
      <c r="K141" s="26">
        <v>77</v>
      </c>
      <c r="L141" s="27">
        <v>78</v>
      </c>
    </row>
    <row r="142" spans="1:12" x14ac:dyDescent="0.25">
      <c r="A142" s="77"/>
      <c r="B142" s="80"/>
      <c r="C142" s="80"/>
      <c r="D142" s="1" t="s">
        <v>116</v>
      </c>
      <c r="E142" s="28">
        <v>266.5</v>
      </c>
      <c r="F142" s="28">
        <v>272.5</v>
      </c>
      <c r="G142" s="28">
        <v>277.39999999999998</v>
      </c>
      <c r="H142" s="1" t="s">
        <v>288</v>
      </c>
      <c r="I142" s="2" t="s">
        <v>23</v>
      </c>
      <c r="J142" s="2">
        <v>847</v>
      </c>
      <c r="K142" s="2">
        <v>862</v>
      </c>
      <c r="L142" s="29">
        <v>908</v>
      </c>
    </row>
    <row r="143" spans="1:12" x14ac:dyDescent="0.25">
      <c r="A143" s="77"/>
      <c r="B143" s="80"/>
      <c r="C143" s="80"/>
      <c r="D143" s="1" t="s">
        <v>144</v>
      </c>
      <c r="E143" s="28">
        <v>187.9</v>
      </c>
      <c r="F143" s="28">
        <v>188</v>
      </c>
      <c r="G143" s="28">
        <v>188.4</v>
      </c>
      <c r="H143" s="1" t="s">
        <v>289</v>
      </c>
      <c r="I143" s="2" t="s">
        <v>23</v>
      </c>
      <c r="J143" s="2">
        <v>26</v>
      </c>
      <c r="K143" s="2">
        <v>25</v>
      </c>
      <c r="L143" s="29">
        <v>28</v>
      </c>
    </row>
    <row r="144" spans="1:12" x14ac:dyDescent="0.25">
      <c r="A144" s="77"/>
      <c r="B144" s="80"/>
      <c r="C144" s="80"/>
      <c r="D144" s="1" t="s">
        <v>44</v>
      </c>
      <c r="E144" s="28">
        <v>6196.9</v>
      </c>
      <c r="F144" s="28">
        <v>6343.2</v>
      </c>
      <c r="G144" s="28">
        <v>6489.5</v>
      </c>
      <c r="H144" s="1" t="s">
        <v>290</v>
      </c>
      <c r="I144" s="2" t="s">
        <v>23</v>
      </c>
      <c r="J144" s="2">
        <v>680</v>
      </c>
      <c r="K144" s="2">
        <v>847</v>
      </c>
      <c r="L144" s="41">
        <v>1158</v>
      </c>
    </row>
    <row r="145" spans="1:12" x14ac:dyDescent="0.25">
      <c r="A145" s="77"/>
      <c r="B145" s="80"/>
      <c r="C145" s="80"/>
      <c r="D145" s="1" t="s">
        <v>291</v>
      </c>
      <c r="E145" s="28">
        <v>149</v>
      </c>
      <c r="F145" s="28">
        <v>155</v>
      </c>
      <c r="G145" s="28">
        <v>155</v>
      </c>
      <c r="H145" s="1" t="s">
        <v>292</v>
      </c>
      <c r="I145" s="2" t="s">
        <v>23</v>
      </c>
      <c r="J145" s="2">
        <v>3</v>
      </c>
      <c r="K145" s="2">
        <v>3</v>
      </c>
      <c r="L145" s="29">
        <v>4</v>
      </c>
    </row>
    <row r="146" spans="1:12" ht="45" x14ac:dyDescent="0.25">
      <c r="A146" s="77"/>
      <c r="B146" s="80"/>
      <c r="C146" s="80"/>
      <c r="D146" s="1" t="s">
        <v>31</v>
      </c>
      <c r="E146" s="28">
        <v>44.7</v>
      </c>
      <c r="F146" s="28">
        <v>44.7</v>
      </c>
      <c r="G146" s="28">
        <v>44.7</v>
      </c>
      <c r="H146" s="1" t="s">
        <v>293</v>
      </c>
      <c r="I146" s="2" t="s">
        <v>104</v>
      </c>
      <c r="J146" s="35">
        <v>431500</v>
      </c>
      <c r="K146" s="35">
        <v>436500</v>
      </c>
      <c r="L146" s="36">
        <v>440700</v>
      </c>
    </row>
    <row r="147" spans="1:12" ht="45" x14ac:dyDescent="0.25">
      <c r="A147" s="77"/>
      <c r="B147" s="80"/>
      <c r="C147" s="80"/>
      <c r="D147" s="1" t="s">
        <v>294</v>
      </c>
      <c r="E147" s="28">
        <v>0</v>
      </c>
      <c r="F147" s="28">
        <v>0</v>
      </c>
      <c r="G147" s="28">
        <v>0</v>
      </c>
      <c r="H147" s="1" t="s">
        <v>295</v>
      </c>
      <c r="I147" s="2" t="s">
        <v>104</v>
      </c>
      <c r="J147" s="35">
        <v>21230</v>
      </c>
      <c r="K147" s="35">
        <v>21400</v>
      </c>
      <c r="L147" s="36">
        <v>22000</v>
      </c>
    </row>
    <row r="148" spans="1:12" x14ac:dyDescent="0.25">
      <c r="A148" s="77"/>
      <c r="B148" s="80"/>
      <c r="C148" s="80"/>
      <c r="D148" s="1"/>
      <c r="E148" s="28">
        <v>0</v>
      </c>
      <c r="F148" s="28">
        <v>0</v>
      </c>
      <c r="G148" s="28">
        <v>0</v>
      </c>
      <c r="H148" s="1" t="s">
        <v>296</v>
      </c>
      <c r="I148" s="2" t="s">
        <v>104</v>
      </c>
      <c r="J148" s="35">
        <v>13500</v>
      </c>
      <c r="K148" s="35">
        <v>15400</v>
      </c>
      <c r="L148" s="36">
        <v>18750</v>
      </c>
    </row>
    <row r="149" spans="1:12" x14ac:dyDescent="0.25">
      <c r="A149" s="77"/>
      <c r="B149" s="80"/>
      <c r="C149" s="80"/>
      <c r="D149" s="1"/>
      <c r="E149" s="28">
        <v>0</v>
      </c>
      <c r="F149" s="28">
        <v>0</v>
      </c>
      <c r="G149" s="28">
        <v>0</v>
      </c>
      <c r="H149" s="106" t="s">
        <v>297</v>
      </c>
      <c r="I149" s="107" t="s">
        <v>104</v>
      </c>
      <c r="J149" s="107">
        <v>50</v>
      </c>
      <c r="K149" s="107">
        <v>50</v>
      </c>
      <c r="L149" s="108">
        <v>60</v>
      </c>
    </row>
    <row r="150" spans="1:12" ht="15.75" thickBot="1" x14ac:dyDescent="0.3">
      <c r="A150" s="78"/>
      <c r="B150" s="81"/>
      <c r="C150" s="81"/>
      <c r="D150" s="1" t="s">
        <v>29</v>
      </c>
      <c r="E150" s="28">
        <v>444.6</v>
      </c>
      <c r="F150" s="28">
        <v>0</v>
      </c>
      <c r="G150" s="28">
        <v>0</v>
      </c>
      <c r="H150" s="81"/>
      <c r="I150" s="101"/>
      <c r="J150" s="101"/>
      <c r="K150" s="101"/>
      <c r="L150" s="109"/>
    </row>
    <row r="151" spans="1:12" ht="30.75" thickBot="1" x14ac:dyDescent="0.3">
      <c r="A151" s="30" t="s">
        <v>298</v>
      </c>
      <c r="B151" s="31" t="s">
        <v>299</v>
      </c>
      <c r="C151" s="24" t="s">
        <v>177</v>
      </c>
      <c r="D151" s="24" t="s">
        <v>44</v>
      </c>
      <c r="E151" s="32">
        <v>90</v>
      </c>
      <c r="F151" s="32">
        <v>100</v>
      </c>
      <c r="G151" s="32">
        <v>120</v>
      </c>
      <c r="H151" s="24" t="s">
        <v>300</v>
      </c>
      <c r="I151" s="26" t="s">
        <v>23</v>
      </c>
      <c r="J151" s="26">
        <v>30</v>
      </c>
      <c r="K151" s="26">
        <v>35</v>
      </c>
      <c r="L151" s="27">
        <v>40</v>
      </c>
    </row>
    <row r="152" spans="1:12" x14ac:dyDescent="0.25">
      <c r="A152" s="76" t="s">
        <v>301</v>
      </c>
      <c r="B152" s="79" t="s">
        <v>302</v>
      </c>
      <c r="C152" s="79" t="s">
        <v>177</v>
      </c>
      <c r="D152" s="24" t="s">
        <v>44</v>
      </c>
      <c r="E152" s="25">
        <f>SUM(E153:E156)+26.2</f>
        <v>26.2</v>
      </c>
      <c r="F152" s="25">
        <f>SUM(F153:F156)+31</f>
        <v>31</v>
      </c>
      <c r="G152" s="25">
        <f>SUM(G153:G156)+31</f>
        <v>31</v>
      </c>
      <c r="H152" s="24" t="s">
        <v>303</v>
      </c>
      <c r="I152" s="26" t="s">
        <v>23</v>
      </c>
      <c r="J152" s="26">
        <v>11</v>
      </c>
      <c r="K152" s="26">
        <v>11</v>
      </c>
      <c r="L152" s="27">
        <v>11</v>
      </c>
    </row>
    <row r="153" spans="1:12" ht="45" x14ac:dyDescent="0.25">
      <c r="A153" s="77"/>
      <c r="B153" s="80"/>
      <c r="C153" s="80"/>
      <c r="D153" s="1"/>
      <c r="E153" s="28">
        <v>0</v>
      </c>
      <c r="F153" s="28">
        <v>0</v>
      </c>
      <c r="G153" s="28">
        <v>0</v>
      </c>
      <c r="H153" s="1" t="s">
        <v>304</v>
      </c>
      <c r="I153" s="2" t="s">
        <v>23</v>
      </c>
      <c r="J153" s="2">
        <v>0</v>
      </c>
      <c r="K153" s="2">
        <v>0</v>
      </c>
      <c r="L153" s="29">
        <v>1</v>
      </c>
    </row>
    <row r="154" spans="1:12" ht="45" x14ac:dyDescent="0.25">
      <c r="A154" s="77"/>
      <c r="B154" s="80"/>
      <c r="C154" s="80"/>
      <c r="D154" s="1"/>
      <c r="E154" s="28">
        <v>0</v>
      </c>
      <c r="F154" s="28">
        <v>0</v>
      </c>
      <c r="G154" s="28">
        <v>0</v>
      </c>
      <c r="H154" s="1" t="s">
        <v>305</v>
      </c>
      <c r="I154" s="2" t="s">
        <v>23</v>
      </c>
      <c r="J154" s="2">
        <v>0</v>
      </c>
      <c r="K154" s="2">
        <v>0</v>
      </c>
      <c r="L154" s="29">
        <v>2</v>
      </c>
    </row>
    <row r="155" spans="1:12" ht="45" x14ac:dyDescent="0.25">
      <c r="A155" s="77"/>
      <c r="B155" s="80"/>
      <c r="C155" s="80"/>
      <c r="D155" s="1"/>
      <c r="E155" s="28">
        <v>0</v>
      </c>
      <c r="F155" s="28">
        <v>0</v>
      </c>
      <c r="G155" s="28">
        <v>0</v>
      </c>
      <c r="H155" s="1" t="s">
        <v>306</v>
      </c>
      <c r="I155" s="2" t="s">
        <v>23</v>
      </c>
      <c r="J155" s="2">
        <v>0</v>
      </c>
      <c r="K155" s="2">
        <v>0</v>
      </c>
      <c r="L155" s="29">
        <v>3</v>
      </c>
    </row>
    <row r="156" spans="1:12" ht="30.75" thickBot="1" x14ac:dyDescent="0.3">
      <c r="A156" s="78"/>
      <c r="B156" s="81"/>
      <c r="C156" s="81"/>
      <c r="D156" s="1"/>
      <c r="E156" s="28">
        <v>0</v>
      </c>
      <c r="F156" s="28">
        <v>0</v>
      </c>
      <c r="G156" s="28">
        <v>0</v>
      </c>
      <c r="H156" s="1" t="s">
        <v>307</v>
      </c>
      <c r="I156" s="2" t="s">
        <v>23</v>
      </c>
      <c r="J156" s="2">
        <v>0</v>
      </c>
      <c r="K156" s="2">
        <v>0</v>
      </c>
      <c r="L156" s="29">
        <v>2</v>
      </c>
    </row>
    <row r="157" spans="1:12" x14ac:dyDescent="0.25">
      <c r="A157" s="76" t="s">
        <v>308</v>
      </c>
      <c r="B157" s="79" t="s">
        <v>309</v>
      </c>
      <c r="C157" s="79" t="s">
        <v>177</v>
      </c>
      <c r="D157" s="24" t="s">
        <v>44</v>
      </c>
      <c r="E157" s="25">
        <f>SUM(E158:E160)+510.4</f>
        <v>510.4</v>
      </c>
      <c r="F157" s="25">
        <f>SUM(F158:F160)+536.5</f>
        <v>536.5</v>
      </c>
      <c r="G157" s="25">
        <f>SUM(G158:G160)+562</f>
        <v>562</v>
      </c>
      <c r="H157" s="24" t="s">
        <v>310</v>
      </c>
      <c r="I157" s="26" t="s">
        <v>23</v>
      </c>
      <c r="J157" s="26">
        <v>8</v>
      </c>
      <c r="K157" s="26">
        <v>8</v>
      </c>
      <c r="L157" s="27">
        <v>8</v>
      </c>
    </row>
    <row r="158" spans="1:12" ht="30.75" customHeight="1" x14ac:dyDescent="0.25">
      <c r="A158" s="77"/>
      <c r="B158" s="80"/>
      <c r="C158" s="80"/>
      <c r="D158" s="1"/>
      <c r="E158" s="28">
        <v>0</v>
      </c>
      <c r="F158" s="28">
        <v>0</v>
      </c>
      <c r="G158" s="28">
        <v>0</v>
      </c>
      <c r="H158" s="1" t="s">
        <v>311</v>
      </c>
      <c r="I158" s="2" t="s">
        <v>23</v>
      </c>
      <c r="J158" s="2">
        <v>17</v>
      </c>
      <c r="K158" s="2">
        <v>21</v>
      </c>
      <c r="L158" s="29">
        <v>24</v>
      </c>
    </row>
    <row r="159" spans="1:12" ht="45" x14ac:dyDescent="0.25">
      <c r="A159" s="77"/>
      <c r="B159" s="80"/>
      <c r="C159" s="80"/>
      <c r="D159" s="1"/>
      <c r="E159" s="28">
        <v>0</v>
      </c>
      <c r="F159" s="28">
        <v>0</v>
      </c>
      <c r="G159" s="28">
        <v>0</v>
      </c>
      <c r="H159" s="1" t="s">
        <v>312</v>
      </c>
      <c r="I159" s="2" t="s">
        <v>23</v>
      </c>
      <c r="J159" s="2">
        <v>7</v>
      </c>
      <c r="K159" s="2">
        <v>9</v>
      </c>
      <c r="L159" s="29">
        <v>12</v>
      </c>
    </row>
    <row r="160" spans="1:12" ht="45.75" thickBot="1" x14ac:dyDescent="0.3">
      <c r="A160" s="78"/>
      <c r="B160" s="81"/>
      <c r="C160" s="81"/>
      <c r="D160" s="1"/>
      <c r="E160" s="28">
        <v>0</v>
      </c>
      <c r="F160" s="28">
        <v>0</v>
      </c>
      <c r="G160" s="28">
        <v>0</v>
      </c>
      <c r="H160" s="1" t="s">
        <v>313</v>
      </c>
      <c r="I160" s="2" t="s">
        <v>23</v>
      </c>
      <c r="J160" s="2">
        <v>10</v>
      </c>
      <c r="K160" s="2">
        <v>12</v>
      </c>
      <c r="L160" s="29">
        <v>13</v>
      </c>
    </row>
    <row r="161" spans="1:12" ht="28.5" customHeight="1" x14ac:dyDescent="0.25">
      <c r="A161" s="76" t="s">
        <v>314</v>
      </c>
      <c r="B161" s="79" t="s">
        <v>315</v>
      </c>
      <c r="C161" s="79" t="s">
        <v>286</v>
      </c>
      <c r="D161" s="24" t="s">
        <v>44</v>
      </c>
      <c r="E161" s="25">
        <f>SUM(E162:E164)+458.3</f>
        <v>458.3</v>
      </c>
      <c r="F161" s="25">
        <f>SUM(F162:F164)+518</f>
        <v>518</v>
      </c>
      <c r="G161" s="25">
        <f>SUM(G162:G164)+552</f>
        <v>552</v>
      </c>
      <c r="H161" s="24" t="s">
        <v>316</v>
      </c>
      <c r="I161" s="26" t="s">
        <v>23</v>
      </c>
      <c r="J161" s="26">
        <v>14</v>
      </c>
      <c r="K161" s="26">
        <v>14</v>
      </c>
      <c r="L161" s="27">
        <v>14</v>
      </c>
    </row>
    <row r="162" spans="1:12" ht="45" x14ac:dyDescent="0.25">
      <c r="A162" s="77"/>
      <c r="B162" s="80"/>
      <c r="C162" s="80"/>
      <c r="D162" s="1"/>
      <c r="E162" s="28">
        <v>0</v>
      </c>
      <c r="F162" s="28">
        <v>0</v>
      </c>
      <c r="G162" s="28">
        <v>0</v>
      </c>
      <c r="H162" s="1" t="s">
        <v>317</v>
      </c>
      <c r="I162" s="2" t="s">
        <v>23</v>
      </c>
      <c r="J162" s="2">
        <v>32</v>
      </c>
      <c r="K162" s="2">
        <v>33</v>
      </c>
      <c r="L162" s="29">
        <v>34</v>
      </c>
    </row>
    <row r="163" spans="1:12" ht="30" x14ac:dyDescent="0.25">
      <c r="A163" s="77"/>
      <c r="B163" s="80"/>
      <c r="C163" s="80"/>
      <c r="D163" s="1"/>
      <c r="E163" s="28">
        <v>0</v>
      </c>
      <c r="F163" s="28">
        <v>0</v>
      </c>
      <c r="G163" s="28">
        <v>0</v>
      </c>
      <c r="H163" s="1" t="s">
        <v>318</v>
      </c>
      <c r="I163" s="2" t="s">
        <v>23</v>
      </c>
      <c r="J163" s="2">
        <v>1</v>
      </c>
      <c r="K163" s="2">
        <v>1</v>
      </c>
      <c r="L163" s="29">
        <v>1</v>
      </c>
    </row>
    <row r="164" spans="1:12" ht="30.75" thickBot="1" x14ac:dyDescent="0.3">
      <c r="A164" s="78"/>
      <c r="B164" s="81"/>
      <c r="C164" s="81"/>
      <c r="D164" s="1"/>
      <c r="E164" s="28">
        <v>0</v>
      </c>
      <c r="F164" s="28">
        <v>0</v>
      </c>
      <c r="G164" s="28">
        <v>0</v>
      </c>
      <c r="H164" s="1" t="s">
        <v>319</v>
      </c>
      <c r="I164" s="2" t="s">
        <v>23</v>
      </c>
      <c r="J164" s="2">
        <v>1</v>
      </c>
      <c r="K164" s="2">
        <v>1</v>
      </c>
      <c r="L164" s="29">
        <v>1</v>
      </c>
    </row>
    <row r="165" spans="1:12" ht="30.75" thickBot="1" x14ac:dyDescent="0.3">
      <c r="A165" s="30" t="s">
        <v>320</v>
      </c>
      <c r="B165" s="31" t="s">
        <v>321</v>
      </c>
      <c r="C165" s="24" t="s">
        <v>286</v>
      </c>
      <c r="D165" s="24" t="s">
        <v>44</v>
      </c>
      <c r="E165" s="32">
        <v>314.7</v>
      </c>
      <c r="F165" s="32">
        <v>287.7</v>
      </c>
      <c r="G165" s="32">
        <v>346.2</v>
      </c>
      <c r="H165" s="24" t="s">
        <v>322</v>
      </c>
      <c r="I165" s="26" t="s">
        <v>23</v>
      </c>
      <c r="J165" s="26">
        <v>12</v>
      </c>
      <c r="K165" s="26">
        <v>12</v>
      </c>
      <c r="L165" s="27">
        <v>11</v>
      </c>
    </row>
    <row r="166" spans="1:12" ht="30.75" thickBot="1" x14ac:dyDescent="0.3">
      <c r="A166" s="30" t="s">
        <v>323</v>
      </c>
      <c r="B166" s="31" t="s">
        <v>324</v>
      </c>
      <c r="C166" s="24" t="s">
        <v>325</v>
      </c>
      <c r="D166" s="24" t="s">
        <v>44</v>
      </c>
      <c r="E166" s="32">
        <v>5</v>
      </c>
      <c r="F166" s="32">
        <v>5</v>
      </c>
      <c r="G166" s="32">
        <v>5</v>
      </c>
      <c r="H166" s="24" t="s">
        <v>326</v>
      </c>
      <c r="I166" s="26" t="s">
        <v>23</v>
      </c>
      <c r="J166" s="26">
        <v>1</v>
      </c>
      <c r="K166" s="26">
        <v>1</v>
      </c>
      <c r="L166" s="27">
        <v>1</v>
      </c>
    </row>
    <row r="167" spans="1:12" ht="45.75" thickBot="1" x14ac:dyDescent="0.3">
      <c r="A167" s="33" t="s">
        <v>327</v>
      </c>
      <c r="B167" s="96" t="s">
        <v>328</v>
      </c>
      <c r="C167" s="97"/>
      <c r="D167" s="98"/>
      <c r="E167" s="15">
        <f>E168+E172+E175+E178+E181+E184</f>
        <v>1597.0000000000002</v>
      </c>
      <c r="F167" s="15">
        <f>F168+F172+F175+F178+F181+F184</f>
        <v>1169.5999999999999</v>
      </c>
      <c r="G167" s="15">
        <f>G168+G172+G175+G178+G181+G184</f>
        <v>283.60000000000002</v>
      </c>
      <c r="H167" s="16" t="s">
        <v>329</v>
      </c>
      <c r="I167" s="17" t="s">
        <v>23</v>
      </c>
      <c r="J167" s="17">
        <v>8</v>
      </c>
      <c r="K167" s="17">
        <v>9</v>
      </c>
      <c r="L167" s="34">
        <v>10</v>
      </c>
    </row>
    <row r="168" spans="1:12" x14ac:dyDescent="0.25">
      <c r="A168" s="76" t="s">
        <v>330</v>
      </c>
      <c r="B168" s="79" t="s">
        <v>331</v>
      </c>
      <c r="C168" s="79" t="s">
        <v>332</v>
      </c>
      <c r="D168" s="24"/>
      <c r="E168" s="25">
        <f>SUM(E169:E171)</f>
        <v>673.2</v>
      </c>
      <c r="F168" s="25">
        <f>SUM(F169:F171)</f>
        <v>786</v>
      </c>
      <c r="G168" s="25">
        <f>SUM(G169:G171)</f>
        <v>0</v>
      </c>
      <c r="H168" s="24" t="s">
        <v>333</v>
      </c>
      <c r="I168" s="26" t="s">
        <v>23</v>
      </c>
      <c r="J168" s="26">
        <v>1</v>
      </c>
      <c r="K168" s="26">
        <v>0</v>
      </c>
      <c r="L168" s="27">
        <v>0</v>
      </c>
    </row>
    <row r="169" spans="1:12" ht="30" x14ac:dyDescent="0.25">
      <c r="A169" s="77"/>
      <c r="B169" s="80"/>
      <c r="C169" s="80"/>
      <c r="D169" s="1" t="s">
        <v>44</v>
      </c>
      <c r="E169" s="28">
        <v>301.3</v>
      </c>
      <c r="F169" s="28">
        <v>607.9</v>
      </c>
      <c r="G169" s="28">
        <v>0</v>
      </c>
      <c r="H169" s="1" t="s">
        <v>334</v>
      </c>
      <c r="I169" s="2" t="s">
        <v>28</v>
      </c>
      <c r="J169" s="2">
        <v>100</v>
      </c>
      <c r="K169" s="2">
        <v>0</v>
      </c>
      <c r="L169" s="29">
        <v>0</v>
      </c>
    </row>
    <row r="170" spans="1:12" ht="25.5" customHeight="1" x14ac:dyDescent="0.25">
      <c r="A170" s="77"/>
      <c r="B170" s="80"/>
      <c r="C170" s="80"/>
      <c r="D170" s="1" t="s">
        <v>29</v>
      </c>
      <c r="E170" s="28">
        <v>188.7</v>
      </c>
      <c r="F170" s="28">
        <v>0</v>
      </c>
      <c r="G170" s="28">
        <v>0</v>
      </c>
      <c r="H170" s="106" t="s">
        <v>335</v>
      </c>
      <c r="I170" s="107" t="s">
        <v>28</v>
      </c>
      <c r="J170" s="107">
        <v>20</v>
      </c>
      <c r="K170" s="107">
        <v>100</v>
      </c>
      <c r="L170" s="108">
        <v>0</v>
      </c>
    </row>
    <row r="171" spans="1:12" ht="15.75" thickBot="1" x14ac:dyDescent="0.3">
      <c r="A171" s="78"/>
      <c r="B171" s="81"/>
      <c r="C171" s="81"/>
      <c r="D171" s="1" t="s">
        <v>33</v>
      </c>
      <c r="E171" s="28">
        <v>183.2</v>
      </c>
      <c r="F171" s="28">
        <v>178.1</v>
      </c>
      <c r="G171" s="28"/>
      <c r="H171" s="81"/>
      <c r="I171" s="101"/>
      <c r="J171" s="101"/>
      <c r="K171" s="101"/>
      <c r="L171" s="109"/>
    </row>
    <row r="172" spans="1:12" ht="38.25" customHeight="1" x14ac:dyDescent="0.25">
      <c r="A172" s="76" t="s">
        <v>336</v>
      </c>
      <c r="B172" s="79" t="s">
        <v>337</v>
      </c>
      <c r="C172" s="79" t="s">
        <v>338</v>
      </c>
      <c r="D172" s="24"/>
      <c r="E172" s="25">
        <f>SUM(E173:E174)</f>
        <v>258.60000000000002</v>
      </c>
      <c r="F172" s="25">
        <f>SUM(F173:F174)</f>
        <v>0</v>
      </c>
      <c r="G172" s="25">
        <f>SUM(G173:G174)</f>
        <v>0</v>
      </c>
      <c r="H172" s="79" t="s">
        <v>339</v>
      </c>
      <c r="I172" s="99" t="s">
        <v>28</v>
      </c>
      <c r="J172" s="99">
        <v>100</v>
      </c>
      <c r="K172" s="99">
        <v>0</v>
      </c>
      <c r="L172" s="111">
        <v>0</v>
      </c>
    </row>
    <row r="173" spans="1:12" x14ac:dyDescent="0.25">
      <c r="A173" s="77"/>
      <c r="B173" s="80"/>
      <c r="C173" s="80"/>
      <c r="D173" s="1" t="s">
        <v>44</v>
      </c>
      <c r="E173" s="28">
        <v>255.1</v>
      </c>
      <c r="F173" s="28">
        <v>0</v>
      </c>
      <c r="G173" s="28">
        <v>0</v>
      </c>
      <c r="H173" s="80"/>
      <c r="I173" s="100"/>
      <c r="J173" s="100"/>
      <c r="K173" s="100"/>
      <c r="L173" s="110"/>
    </row>
    <row r="174" spans="1:12" ht="15.75" thickBot="1" x14ac:dyDescent="0.3">
      <c r="A174" s="78"/>
      <c r="B174" s="81"/>
      <c r="C174" s="81"/>
      <c r="D174" s="1" t="s">
        <v>29</v>
      </c>
      <c r="E174" s="28">
        <v>3.5</v>
      </c>
      <c r="F174" s="28">
        <v>0</v>
      </c>
      <c r="G174" s="28">
        <v>0</v>
      </c>
      <c r="H174" s="81"/>
      <c r="I174" s="101"/>
      <c r="J174" s="101"/>
      <c r="K174" s="101"/>
      <c r="L174" s="109"/>
    </row>
    <row r="175" spans="1:12" x14ac:dyDescent="0.25">
      <c r="A175" s="76" t="s">
        <v>340</v>
      </c>
      <c r="B175" s="79" t="s">
        <v>341</v>
      </c>
      <c r="C175" s="79" t="s">
        <v>342</v>
      </c>
      <c r="D175" s="24" t="s">
        <v>44</v>
      </c>
      <c r="E175" s="25">
        <f>SUM(E176:E177)+50</f>
        <v>50</v>
      </c>
      <c r="F175" s="25">
        <f>SUM(F176:F177)+250</f>
        <v>250</v>
      </c>
      <c r="G175" s="25">
        <f>SUM(G176:G177)+250</f>
        <v>250</v>
      </c>
      <c r="H175" s="24" t="s">
        <v>333</v>
      </c>
      <c r="I175" s="26" t="s">
        <v>23</v>
      </c>
      <c r="J175" s="26">
        <v>1</v>
      </c>
      <c r="K175" s="26">
        <v>0</v>
      </c>
      <c r="L175" s="27">
        <v>0</v>
      </c>
    </row>
    <row r="176" spans="1:12" ht="45" x14ac:dyDescent="0.25">
      <c r="A176" s="77"/>
      <c r="B176" s="80"/>
      <c r="C176" s="80"/>
      <c r="D176" s="1"/>
      <c r="E176" s="28">
        <v>0</v>
      </c>
      <c r="F176" s="28">
        <v>0</v>
      </c>
      <c r="G176" s="28">
        <v>0</v>
      </c>
      <c r="H176" s="1" t="s">
        <v>343</v>
      </c>
      <c r="I176" s="2" t="s">
        <v>28</v>
      </c>
      <c r="J176" s="2">
        <v>0</v>
      </c>
      <c r="K176" s="2">
        <v>20</v>
      </c>
      <c r="L176" s="29">
        <v>100</v>
      </c>
    </row>
    <row r="177" spans="1:12" ht="45.75" thickBot="1" x14ac:dyDescent="0.3">
      <c r="A177" s="78"/>
      <c r="B177" s="81"/>
      <c r="C177" s="81"/>
      <c r="D177" s="1"/>
      <c r="E177" s="28">
        <v>0</v>
      </c>
      <c r="F177" s="28">
        <v>0</v>
      </c>
      <c r="G177" s="28">
        <v>0</v>
      </c>
      <c r="H177" s="1" t="s">
        <v>344</v>
      </c>
      <c r="I177" s="2" t="s">
        <v>23</v>
      </c>
      <c r="J177" s="2">
        <v>0</v>
      </c>
      <c r="K177" s="2">
        <v>20</v>
      </c>
      <c r="L177" s="29">
        <v>100</v>
      </c>
    </row>
    <row r="178" spans="1:12" x14ac:dyDescent="0.25">
      <c r="A178" s="76" t="s">
        <v>345</v>
      </c>
      <c r="B178" s="79" t="s">
        <v>346</v>
      </c>
      <c r="C178" s="79" t="s">
        <v>347</v>
      </c>
      <c r="D178" s="24"/>
      <c r="E178" s="25">
        <f>SUM(E179:E180)</f>
        <v>277.10000000000002</v>
      </c>
      <c r="F178" s="25">
        <f>SUM(F179:F180)</f>
        <v>0</v>
      </c>
      <c r="G178" s="25">
        <f>SUM(G179:G180)</f>
        <v>0</v>
      </c>
      <c r="H178" s="24" t="s">
        <v>348</v>
      </c>
      <c r="I178" s="26" t="s">
        <v>28</v>
      </c>
      <c r="J178" s="26">
        <v>100</v>
      </c>
      <c r="K178" s="26">
        <v>0</v>
      </c>
      <c r="L178" s="27">
        <v>0</v>
      </c>
    </row>
    <row r="179" spans="1:12" ht="30" x14ac:dyDescent="0.25">
      <c r="A179" s="77"/>
      <c r="B179" s="80"/>
      <c r="C179" s="80"/>
      <c r="D179" s="1" t="s">
        <v>44</v>
      </c>
      <c r="E179" s="28">
        <v>254</v>
      </c>
      <c r="F179" s="28">
        <v>0</v>
      </c>
      <c r="G179" s="28">
        <v>0</v>
      </c>
      <c r="H179" s="1" t="s">
        <v>349</v>
      </c>
      <c r="I179" s="2" t="s">
        <v>28</v>
      </c>
      <c r="J179" s="2">
        <v>100</v>
      </c>
      <c r="K179" s="2">
        <v>0</v>
      </c>
      <c r="L179" s="29">
        <v>0</v>
      </c>
    </row>
    <row r="180" spans="1:12" ht="30.75" thickBot="1" x14ac:dyDescent="0.3">
      <c r="A180" s="78"/>
      <c r="B180" s="81"/>
      <c r="C180" s="81"/>
      <c r="D180" s="1" t="s">
        <v>29</v>
      </c>
      <c r="E180" s="28">
        <v>23.1</v>
      </c>
      <c r="F180" s="28">
        <v>0</v>
      </c>
      <c r="G180" s="28">
        <v>0</v>
      </c>
      <c r="H180" s="1" t="s">
        <v>350</v>
      </c>
      <c r="I180" s="2" t="s">
        <v>28</v>
      </c>
      <c r="J180" s="2">
        <v>100</v>
      </c>
      <c r="K180" s="2"/>
      <c r="L180" s="29"/>
    </row>
    <row r="181" spans="1:12" ht="45" x14ac:dyDescent="0.25">
      <c r="A181" s="76" t="s">
        <v>351</v>
      </c>
      <c r="B181" s="79" t="s">
        <v>352</v>
      </c>
      <c r="C181" s="79" t="s">
        <v>353</v>
      </c>
      <c r="D181" s="24"/>
      <c r="E181" s="25">
        <f>SUM(E182:E183)</f>
        <v>278.7</v>
      </c>
      <c r="F181" s="25">
        <f>SUM(F182:F183)</f>
        <v>103.6</v>
      </c>
      <c r="G181" s="25">
        <f>SUM(G182:G183)</f>
        <v>3.5999999999999996</v>
      </c>
      <c r="H181" s="24" t="s">
        <v>354</v>
      </c>
      <c r="I181" s="26" t="s">
        <v>23</v>
      </c>
      <c r="J181" s="26">
        <v>1</v>
      </c>
      <c r="K181" s="26">
        <v>0</v>
      </c>
      <c r="L181" s="27">
        <v>0</v>
      </c>
    </row>
    <row r="182" spans="1:12" ht="45" x14ac:dyDescent="0.25">
      <c r="A182" s="77"/>
      <c r="B182" s="80"/>
      <c r="C182" s="80"/>
      <c r="D182" s="1" t="s">
        <v>44</v>
      </c>
      <c r="E182" s="28">
        <v>188.4</v>
      </c>
      <c r="F182" s="28">
        <v>94.6</v>
      </c>
      <c r="G182" s="28">
        <v>0.7</v>
      </c>
      <c r="H182" s="1" t="s">
        <v>355</v>
      </c>
      <c r="I182" s="2" t="s">
        <v>23</v>
      </c>
      <c r="J182" s="2">
        <v>0</v>
      </c>
      <c r="K182" s="2">
        <v>0</v>
      </c>
      <c r="L182" s="29">
        <v>1</v>
      </c>
    </row>
    <row r="183" spans="1:12" ht="30.75" thickBot="1" x14ac:dyDescent="0.3">
      <c r="A183" s="78"/>
      <c r="B183" s="81"/>
      <c r="C183" s="81"/>
      <c r="D183" s="1" t="s">
        <v>33</v>
      </c>
      <c r="E183" s="28">
        <v>90.3</v>
      </c>
      <c r="F183" s="28">
        <v>9</v>
      </c>
      <c r="G183" s="28">
        <v>2.9</v>
      </c>
      <c r="H183" s="1" t="s">
        <v>356</v>
      </c>
      <c r="I183" s="2" t="s">
        <v>23</v>
      </c>
      <c r="J183" s="2">
        <v>0</v>
      </c>
      <c r="K183" s="2">
        <v>1</v>
      </c>
      <c r="L183" s="29">
        <v>0</v>
      </c>
    </row>
    <row r="184" spans="1:12" x14ac:dyDescent="0.25">
      <c r="A184" s="76" t="s">
        <v>357</v>
      </c>
      <c r="B184" s="79" t="s">
        <v>358</v>
      </c>
      <c r="C184" s="79" t="s">
        <v>325</v>
      </c>
      <c r="D184" s="24"/>
      <c r="E184" s="25">
        <f>SUM(E185:E186)</f>
        <v>59.4</v>
      </c>
      <c r="F184" s="25">
        <f>SUM(F185:F186)</f>
        <v>30</v>
      </c>
      <c r="G184" s="25">
        <f>SUM(G185:G186)</f>
        <v>30</v>
      </c>
      <c r="H184" s="24" t="s">
        <v>359</v>
      </c>
      <c r="I184" s="26" t="s">
        <v>23</v>
      </c>
      <c r="J184" s="26">
        <v>0</v>
      </c>
      <c r="K184" s="26">
        <v>1</v>
      </c>
      <c r="L184" s="27">
        <v>1</v>
      </c>
    </row>
    <row r="185" spans="1:12" ht="60" x14ac:dyDescent="0.25">
      <c r="A185" s="77"/>
      <c r="B185" s="80"/>
      <c r="C185" s="80"/>
      <c r="D185" s="1" t="s">
        <v>29</v>
      </c>
      <c r="E185" s="28">
        <v>29.4</v>
      </c>
      <c r="F185" s="28">
        <v>0</v>
      </c>
      <c r="G185" s="28">
        <v>0</v>
      </c>
      <c r="H185" s="1" t="s">
        <v>360</v>
      </c>
      <c r="I185" s="2" t="s">
        <v>361</v>
      </c>
      <c r="J185" s="2">
        <v>1</v>
      </c>
      <c r="K185" s="2"/>
      <c r="L185" s="29"/>
    </row>
    <row r="186" spans="1:12" ht="30.75" thickBot="1" x14ac:dyDescent="0.3">
      <c r="A186" s="78"/>
      <c r="B186" s="81"/>
      <c r="C186" s="81"/>
      <c r="D186" s="1" t="s">
        <v>44</v>
      </c>
      <c r="E186" s="28">
        <v>30</v>
      </c>
      <c r="F186" s="28">
        <v>30</v>
      </c>
      <c r="G186" s="28">
        <v>30</v>
      </c>
      <c r="H186" s="1" t="s">
        <v>362</v>
      </c>
      <c r="I186" s="2" t="s">
        <v>28</v>
      </c>
      <c r="J186" s="2">
        <v>100</v>
      </c>
      <c r="K186" s="2"/>
      <c r="L186" s="29"/>
    </row>
    <row r="187" spans="1:12" ht="27" customHeight="1" thickBot="1" x14ac:dyDescent="0.3">
      <c r="A187" s="12" t="s">
        <v>363</v>
      </c>
      <c r="B187" s="13" t="s">
        <v>364</v>
      </c>
      <c r="C187" s="66" t="s">
        <v>190</v>
      </c>
      <c r="D187" s="67"/>
      <c r="E187" s="14">
        <f>E188+E225</f>
        <v>6416.5</v>
      </c>
      <c r="F187" s="14">
        <f>F188+F225</f>
        <v>6115.9</v>
      </c>
      <c r="G187" s="14">
        <f>G188+G225</f>
        <v>5810.1</v>
      </c>
      <c r="H187" s="93"/>
      <c r="I187" s="94"/>
      <c r="J187" s="94"/>
      <c r="K187" s="94"/>
      <c r="L187" s="95"/>
    </row>
    <row r="188" spans="1:12" ht="28.5" customHeight="1" x14ac:dyDescent="0.25">
      <c r="A188" s="68" t="s">
        <v>365</v>
      </c>
      <c r="B188" s="70" t="s">
        <v>366</v>
      </c>
      <c r="C188" s="71"/>
      <c r="D188" s="72"/>
      <c r="E188" s="15">
        <f>E189+E190+E191+E192+E196+E202+E205+E208+E212+E213+E215+E219+E222</f>
        <v>1262</v>
      </c>
      <c r="F188" s="15">
        <f>F189+F190+F191+F192+F196+F202+F205+F208+F212+F213+F215+F219+F222</f>
        <v>1081.9000000000001</v>
      </c>
      <c r="G188" s="15">
        <f>G189+G190+G191+G192+G196+G202+G205+G208+G212+G213+G215+G219+G222</f>
        <v>775.1</v>
      </c>
      <c r="H188" s="16" t="s">
        <v>367</v>
      </c>
      <c r="I188" s="17" t="s">
        <v>28</v>
      </c>
      <c r="J188" s="62">
        <v>32.32</v>
      </c>
      <c r="K188" s="62">
        <v>32.75</v>
      </c>
      <c r="L188" s="63">
        <v>33.18</v>
      </c>
    </row>
    <row r="189" spans="1:12" ht="30" x14ac:dyDescent="0.25">
      <c r="A189" s="102"/>
      <c r="B189" s="103"/>
      <c r="C189" s="104"/>
      <c r="D189" s="105"/>
      <c r="E189" s="20">
        <v>0</v>
      </c>
      <c r="F189" s="20">
        <v>0</v>
      </c>
      <c r="G189" s="20">
        <v>0</v>
      </c>
      <c r="H189" s="21" t="s">
        <v>368</v>
      </c>
      <c r="I189" s="22" t="s">
        <v>28</v>
      </c>
      <c r="J189" s="64">
        <v>20.239999999999998</v>
      </c>
      <c r="K189" s="64">
        <v>19.59</v>
      </c>
      <c r="L189" s="65">
        <v>18.940000000000001</v>
      </c>
    </row>
    <row r="190" spans="1:12" x14ac:dyDescent="0.25">
      <c r="A190" s="102"/>
      <c r="B190" s="103"/>
      <c r="C190" s="104"/>
      <c r="D190" s="105"/>
      <c r="E190" s="20">
        <v>0</v>
      </c>
      <c r="F190" s="20">
        <v>0</v>
      </c>
      <c r="G190" s="20">
        <v>0</v>
      </c>
      <c r="H190" s="21" t="s">
        <v>369</v>
      </c>
      <c r="I190" s="22" t="s">
        <v>370</v>
      </c>
      <c r="J190" s="22">
        <v>21</v>
      </c>
      <c r="K190" s="22">
        <v>21</v>
      </c>
      <c r="L190" s="23">
        <v>21</v>
      </c>
    </row>
    <row r="191" spans="1:12" ht="30.75" thickBot="1" x14ac:dyDescent="0.3">
      <c r="A191" s="69"/>
      <c r="B191" s="73"/>
      <c r="C191" s="74"/>
      <c r="D191" s="75"/>
      <c r="E191" s="20">
        <v>0</v>
      </c>
      <c r="F191" s="20">
        <v>0</v>
      </c>
      <c r="G191" s="20">
        <v>0</v>
      </c>
      <c r="H191" s="21" t="s">
        <v>371</v>
      </c>
      <c r="I191" s="22" t="s">
        <v>372</v>
      </c>
      <c r="J191" s="42">
        <v>47.66</v>
      </c>
      <c r="K191" s="42">
        <v>47.29</v>
      </c>
      <c r="L191" s="43">
        <v>46.92</v>
      </c>
    </row>
    <row r="192" spans="1:12" ht="30" x14ac:dyDescent="0.25">
      <c r="A192" s="76" t="s">
        <v>373</v>
      </c>
      <c r="B192" s="79" t="s">
        <v>374</v>
      </c>
      <c r="C192" s="79" t="s">
        <v>375</v>
      </c>
      <c r="D192" s="24"/>
      <c r="E192" s="25">
        <f>SUM(E193:E195)</f>
        <v>136</v>
      </c>
      <c r="F192" s="25">
        <f>SUM(F193:F195)</f>
        <v>0</v>
      </c>
      <c r="G192" s="25">
        <f>SUM(G193:G195)</f>
        <v>0</v>
      </c>
      <c r="H192" s="24" t="s">
        <v>376</v>
      </c>
      <c r="I192" s="26" t="s">
        <v>23</v>
      </c>
      <c r="J192" s="26">
        <v>1</v>
      </c>
      <c r="K192" s="26">
        <v>1</v>
      </c>
      <c r="L192" s="27">
        <v>1</v>
      </c>
    </row>
    <row r="193" spans="1:12" x14ac:dyDescent="0.25">
      <c r="A193" s="77"/>
      <c r="B193" s="80"/>
      <c r="C193" s="80"/>
      <c r="D193" s="1" t="s">
        <v>29</v>
      </c>
      <c r="E193" s="28">
        <v>9.6999999999999993</v>
      </c>
      <c r="F193" s="28">
        <v>0</v>
      </c>
      <c r="G193" s="28">
        <v>0</v>
      </c>
      <c r="H193" s="106" t="s">
        <v>377</v>
      </c>
      <c r="I193" s="107" t="s">
        <v>23</v>
      </c>
      <c r="J193" s="107">
        <v>1</v>
      </c>
      <c r="K193" s="107">
        <v>1</v>
      </c>
      <c r="L193" s="108">
        <v>1</v>
      </c>
    </row>
    <row r="194" spans="1:12" x14ac:dyDescent="0.25">
      <c r="A194" s="77"/>
      <c r="B194" s="80"/>
      <c r="C194" s="80"/>
      <c r="D194" s="1" t="s">
        <v>44</v>
      </c>
      <c r="E194" s="28">
        <v>123.3</v>
      </c>
      <c r="F194" s="28"/>
      <c r="G194" s="28"/>
      <c r="H194" s="80"/>
      <c r="I194" s="100"/>
      <c r="J194" s="100"/>
      <c r="K194" s="100"/>
      <c r="L194" s="110"/>
    </row>
    <row r="195" spans="1:12" ht="15.75" thickBot="1" x14ac:dyDescent="0.3">
      <c r="A195" s="78"/>
      <c r="B195" s="81"/>
      <c r="C195" s="81"/>
      <c r="D195" s="1" t="s">
        <v>116</v>
      </c>
      <c r="E195" s="28">
        <v>3</v>
      </c>
      <c r="F195" s="28"/>
      <c r="G195" s="28"/>
      <c r="H195" s="81"/>
      <c r="I195" s="101"/>
      <c r="J195" s="101"/>
      <c r="K195" s="101"/>
      <c r="L195" s="109"/>
    </row>
    <row r="196" spans="1:12" ht="30" x14ac:dyDescent="0.25">
      <c r="A196" s="76" t="s">
        <v>378</v>
      </c>
      <c r="B196" s="79" t="s">
        <v>379</v>
      </c>
      <c r="C196" s="79" t="s">
        <v>190</v>
      </c>
      <c r="D196" s="24" t="s">
        <v>380</v>
      </c>
      <c r="E196" s="25">
        <f>SUM(E197:E201)+147</f>
        <v>147</v>
      </c>
      <c r="F196" s="25">
        <f>SUM(F197:F201)+147</f>
        <v>147</v>
      </c>
      <c r="G196" s="25">
        <f>SUM(G197:G201)+147.1</f>
        <v>147.1</v>
      </c>
      <c r="H196" s="24" t="s">
        <v>381</v>
      </c>
      <c r="I196" s="26" t="s">
        <v>382</v>
      </c>
      <c r="J196" s="26">
        <v>300</v>
      </c>
      <c r="K196" s="26">
        <v>600</v>
      </c>
      <c r="L196" s="27">
        <v>800</v>
      </c>
    </row>
    <row r="197" spans="1:12" x14ac:dyDescent="0.25">
      <c r="A197" s="77"/>
      <c r="B197" s="80"/>
      <c r="C197" s="80"/>
      <c r="D197" s="1"/>
      <c r="E197" s="28">
        <v>0</v>
      </c>
      <c r="F197" s="28">
        <v>0</v>
      </c>
      <c r="G197" s="28">
        <v>0</v>
      </c>
      <c r="H197" s="1" t="s">
        <v>383</v>
      </c>
      <c r="I197" s="2" t="s">
        <v>384</v>
      </c>
      <c r="J197" s="2">
        <v>0.5</v>
      </c>
      <c r="K197" s="2">
        <v>1</v>
      </c>
      <c r="L197" s="29">
        <v>1</v>
      </c>
    </row>
    <row r="198" spans="1:12" ht="30" x14ac:dyDescent="0.25">
      <c r="A198" s="77"/>
      <c r="B198" s="80"/>
      <c r="C198" s="80"/>
      <c r="D198" s="1"/>
      <c r="E198" s="28">
        <v>0</v>
      </c>
      <c r="F198" s="28">
        <v>0</v>
      </c>
      <c r="G198" s="28">
        <v>0</v>
      </c>
      <c r="H198" s="1" t="s">
        <v>385</v>
      </c>
      <c r="I198" s="2" t="s">
        <v>23</v>
      </c>
      <c r="J198" s="2">
        <v>0</v>
      </c>
      <c r="K198" s="2">
        <v>0</v>
      </c>
      <c r="L198" s="29">
        <v>5</v>
      </c>
    </row>
    <row r="199" spans="1:12" ht="30" x14ac:dyDescent="0.25">
      <c r="A199" s="77"/>
      <c r="B199" s="80"/>
      <c r="C199" s="80"/>
      <c r="D199" s="1"/>
      <c r="E199" s="28">
        <v>0</v>
      </c>
      <c r="F199" s="28">
        <v>0</v>
      </c>
      <c r="G199" s="28">
        <v>0</v>
      </c>
      <c r="H199" s="1" t="s">
        <v>386</v>
      </c>
      <c r="I199" s="2" t="s">
        <v>384</v>
      </c>
      <c r="J199" s="2">
        <v>0</v>
      </c>
      <c r="K199" s="2">
        <v>0</v>
      </c>
      <c r="L199" s="29">
        <v>5</v>
      </c>
    </row>
    <row r="200" spans="1:12" x14ac:dyDescent="0.25">
      <c r="A200" s="77"/>
      <c r="B200" s="80"/>
      <c r="C200" s="80"/>
      <c r="D200" s="1"/>
      <c r="E200" s="28">
        <v>0</v>
      </c>
      <c r="F200" s="28">
        <v>0</v>
      </c>
      <c r="G200" s="28">
        <v>0</v>
      </c>
      <c r="H200" s="1" t="s">
        <v>387</v>
      </c>
      <c r="I200" s="2" t="s">
        <v>388</v>
      </c>
      <c r="J200" s="35">
        <v>7000</v>
      </c>
      <c r="K200" s="35">
        <v>6000</v>
      </c>
      <c r="L200" s="36">
        <v>5000</v>
      </c>
    </row>
    <row r="201" spans="1:12" ht="15.75" thickBot="1" x14ac:dyDescent="0.3">
      <c r="A201" s="78"/>
      <c r="B201" s="81"/>
      <c r="C201" s="81"/>
      <c r="D201" s="1"/>
      <c r="E201" s="28">
        <v>0</v>
      </c>
      <c r="F201" s="28">
        <v>0</v>
      </c>
      <c r="G201" s="28">
        <v>0</v>
      </c>
      <c r="H201" s="1" t="s">
        <v>389</v>
      </c>
      <c r="I201" s="2" t="s">
        <v>23</v>
      </c>
      <c r="J201" s="2">
        <v>100</v>
      </c>
      <c r="K201" s="2">
        <v>100</v>
      </c>
      <c r="L201" s="29">
        <v>100</v>
      </c>
    </row>
    <row r="202" spans="1:12" ht="60" x14ac:dyDescent="0.25">
      <c r="A202" s="76" t="s">
        <v>390</v>
      </c>
      <c r="B202" s="79" t="s">
        <v>391</v>
      </c>
      <c r="C202" s="79" t="s">
        <v>190</v>
      </c>
      <c r="D202" s="24"/>
      <c r="E202" s="25">
        <f>SUM(E203:E204)</f>
        <v>230</v>
      </c>
      <c r="F202" s="25">
        <f>SUM(F203:F204)</f>
        <v>230</v>
      </c>
      <c r="G202" s="25">
        <f>SUM(G203:G204)</f>
        <v>230</v>
      </c>
      <c r="H202" s="24" t="s">
        <v>392</v>
      </c>
      <c r="I202" s="26" t="s">
        <v>28</v>
      </c>
      <c r="J202" s="26">
        <v>100</v>
      </c>
      <c r="K202" s="26">
        <v>100</v>
      </c>
      <c r="L202" s="27">
        <v>100</v>
      </c>
    </row>
    <row r="203" spans="1:12" ht="30" x14ac:dyDescent="0.25">
      <c r="A203" s="77"/>
      <c r="B203" s="80"/>
      <c r="C203" s="80"/>
      <c r="D203" s="1" t="s">
        <v>44</v>
      </c>
      <c r="E203" s="28">
        <v>120</v>
      </c>
      <c r="F203" s="28">
        <v>120</v>
      </c>
      <c r="G203" s="28">
        <v>120</v>
      </c>
      <c r="H203" s="1" t="s">
        <v>393</v>
      </c>
      <c r="I203" s="2" t="s">
        <v>388</v>
      </c>
      <c r="J203" s="35">
        <v>8000</v>
      </c>
      <c r="K203" s="35">
        <v>8000</v>
      </c>
      <c r="L203" s="36">
        <v>8000</v>
      </c>
    </row>
    <row r="204" spans="1:12" ht="30.75" thickBot="1" x14ac:dyDescent="0.3">
      <c r="A204" s="78"/>
      <c r="B204" s="81"/>
      <c r="C204" s="81"/>
      <c r="D204" s="1" t="s">
        <v>380</v>
      </c>
      <c r="E204" s="28">
        <v>110</v>
      </c>
      <c r="F204" s="28">
        <v>110</v>
      </c>
      <c r="G204" s="28">
        <v>110</v>
      </c>
      <c r="H204" s="1" t="s">
        <v>394</v>
      </c>
      <c r="I204" s="2" t="s">
        <v>28</v>
      </c>
      <c r="J204" s="2">
        <v>0</v>
      </c>
      <c r="K204" s="2">
        <v>0</v>
      </c>
      <c r="L204" s="29">
        <v>3</v>
      </c>
    </row>
    <row r="205" spans="1:12" ht="15" customHeight="1" x14ac:dyDescent="0.25">
      <c r="A205" s="76" t="s">
        <v>395</v>
      </c>
      <c r="B205" s="79" t="s">
        <v>396</v>
      </c>
      <c r="C205" s="79" t="s">
        <v>190</v>
      </c>
      <c r="D205" s="24"/>
      <c r="E205" s="25">
        <f>SUM(E206:E207)</f>
        <v>360</v>
      </c>
      <c r="F205" s="25">
        <f>SUM(F206:F207)</f>
        <v>341</v>
      </c>
      <c r="G205" s="25">
        <f>SUM(G206:G207)</f>
        <v>245</v>
      </c>
      <c r="H205" s="24" t="s">
        <v>397</v>
      </c>
      <c r="I205" s="26" t="s">
        <v>23</v>
      </c>
      <c r="J205" s="26">
        <v>70</v>
      </c>
      <c r="K205" s="26">
        <v>70</v>
      </c>
      <c r="L205" s="27">
        <v>70</v>
      </c>
    </row>
    <row r="206" spans="1:12" ht="28.5" customHeight="1" x14ac:dyDescent="0.25">
      <c r="A206" s="77"/>
      <c r="B206" s="80"/>
      <c r="C206" s="80"/>
      <c r="D206" s="1" t="s">
        <v>380</v>
      </c>
      <c r="E206" s="28">
        <v>75</v>
      </c>
      <c r="F206" s="28">
        <v>71</v>
      </c>
      <c r="G206" s="28">
        <v>70</v>
      </c>
      <c r="H206" s="106" t="s">
        <v>398</v>
      </c>
      <c r="I206" s="107" t="s">
        <v>28</v>
      </c>
      <c r="J206" s="107">
        <v>50</v>
      </c>
      <c r="K206" s="107">
        <v>100</v>
      </c>
      <c r="L206" s="108">
        <v>0</v>
      </c>
    </row>
    <row r="207" spans="1:12" ht="15.75" thickBot="1" x14ac:dyDescent="0.3">
      <c r="A207" s="78"/>
      <c r="B207" s="81"/>
      <c r="C207" s="81"/>
      <c r="D207" s="1" t="s">
        <v>44</v>
      </c>
      <c r="E207" s="28">
        <v>285</v>
      </c>
      <c r="F207" s="28">
        <v>270</v>
      </c>
      <c r="G207" s="28">
        <v>175</v>
      </c>
      <c r="H207" s="81"/>
      <c r="I207" s="101"/>
      <c r="J207" s="101"/>
      <c r="K207" s="101"/>
      <c r="L207" s="109"/>
    </row>
    <row r="208" spans="1:12" ht="30" x14ac:dyDescent="0.25">
      <c r="A208" s="76" t="s">
        <v>399</v>
      </c>
      <c r="B208" s="79" t="s">
        <v>400</v>
      </c>
      <c r="C208" s="79" t="s">
        <v>190</v>
      </c>
      <c r="D208" s="24"/>
      <c r="E208" s="25">
        <f>SUM(E209:E211)</f>
        <v>130</v>
      </c>
      <c r="F208" s="25">
        <f>SUM(F209:F211)</f>
        <v>100</v>
      </c>
      <c r="G208" s="25">
        <f>SUM(G209:G211)</f>
        <v>100</v>
      </c>
      <c r="H208" s="24" t="s">
        <v>401</v>
      </c>
      <c r="I208" s="26" t="s">
        <v>402</v>
      </c>
      <c r="J208" s="26">
        <v>242</v>
      </c>
      <c r="K208" s="26">
        <v>242</v>
      </c>
      <c r="L208" s="27">
        <v>242</v>
      </c>
    </row>
    <row r="209" spans="1:12" ht="30" x14ac:dyDescent="0.25">
      <c r="A209" s="77"/>
      <c r="B209" s="80"/>
      <c r="C209" s="80"/>
      <c r="D209" s="1" t="s">
        <v>403</v>
      </c>
      <c r="E209" s="28">
        <v>30</v>
      </c>
      <c r="F209" s="28">
        <v>0</v>
      </c>
      <c r="G209" s="28">
        <v>0</v>
      </c>
      <c r="H209" s="1" t="s">
        <v>404</v>
      </c>
      <c r="I209" s="2" t="s">
        <v>28</v>
      </c>
      <c r="J209" s="2">
        <v>50</v>
      </c>
      <c r="K209" s="2">
        <v>100</v>
      </c>
      <c r="L209" s="29">
        <v>0</v>
      </c>
    </row>
    <row r="210" spans="1:12" ht="30" x14ac:dyDescent="0.25">
      <c r="A210" s="77"/>
      <c r="B210" s="80"/>
      <c r="C210" s="80"/>
      <c r="D210" s="1" t="s">
        <v>380</v>
      </c>
      <c r="E210" s="28">
        <v>100</v>
      </c>
      <c r="F210" s="28">
        <v>100</v>
      </c>
      <c r="G210" s="28">
        <v>100</v>
      </c>
      <c r="H210" s="1" t="s">
        <v>405</v>
      </c>
      <c r="I210" s="2" t="s">
        <v>402</v>
      </c>
      <c r="J210" s="2">
        <v>13</v>
      </c>
      <c r="K210" s="2">
        <v>13</v>
      </c>
      <c r="L210" s="29">
        <v>13</v>
      </c>
    </row>
    <row r="211" spans="1:12" ht="45.75" thickBot="1" x14ac:dyDescent="0.3">
      <c r="A211" s="78"/>
      <c r="B211" s="81"/>
      <c r="C211" s="81"/>
      <c r="D211" s="1"/>
      <c r="E211" s="28">
        <v>0</v>
      </c>
      <c r="F211" s="28">
        <v>0</v>
      </c>
      <c r="G211" s="28">
        <v>0</v>
      </c>
      <c r="H211" s="1" t="s">
        <v>406</v>
      </c>
      <c r="I211" s="2" t="s">
        <v>23</v>
      </c>
      <c r="J211" s="2">
        <v>1</v>
      </c>
      <c r="K211" s="2">
        <v>1</v>
      </c>
      <c r="L211" s="29">
        <v>1</v>
      </c>
    </row>
    <row r="212" spans="1:12" ht="30.75" thickBot="1" x14ac:dyDescent="0.3">
      <c r="A212" s="30" t="s">
        <v>407</v>
      </c>
      <c r="B212" s="31" t="s">
        <v>408</v>
      </c>
      <c r="C212" s="24" t="s">
        <v>409</v>
      </c>
      <c r="D212" s="24" t="s">
        <v>380</v>
      </c>
      <c r="E212" s="32">
        <v>5</v>
      </c>
      <c r="F212" s="32">
        <v>5</v>
      </c>
      <c r="G212" s="32">
        <v>5</v>
      </c>
      <c r="H212" s="24" t="s">
        <v>410</v>
      </c>
      <c r="I212" s="26" t="s">
        <v>28</v>
      </c>
      <c r="J212" s="26">
        <v>100</v>
      </c>
      <c r="K212" s="26">
        <v>100</v>
      </c>
      <c r="L212" s="27">
        <v>100</v>
      </c>
    </row>
    <row r="213" spans="1:12" ht="26.25" customHeight="1" x14ac:dyDescent="0.25">
      <c r="A213" s="76" t="s">
        <v>411</v>
      </c>
      <c r="B213" s="79" t="s">
        <v>412</v>
      </c>
      <c r="C213" s="79" t="s">
        <v>190</v>
      </c>
      <c r="D213" s="24" t="s">
        <v>44</v>
      </c>
      <c r="E213" s="25">
        <f>SUM(E214:E214)+76</f>
        <v>76</v>
      </c>
      <c r="F213" s="25">
        <f>SUM(F214:F214)+35</f>
        <v>35</v>
      </c>
      <c r="G213" s="25">
        <f>SUM(G214:G214)+35</f>
        <v>35</v>
      </c>
      <c r="H213" s="24" t="s">
        <v>413</v>
      </c>
      <c r="I213" s="26" t="s">
        <v>123</v>
      </c>
      <c r="J213" s="26">
        <v>18</v>
      </c>
      <c r="K213" s="26">
        <v>18</v>
      </c>
      <c r="L213" s="27">
        <v>18</v>
      </c>
    </row>
    <row r="214" spans="1:12" ht="15.75" thickBot="1" x14ac:dyDescent="0.3">
      <c r="A214" s="78"/>
      <c r="B214" s="81"/>
      <c r="C214" s="81"/>
      <c r="D214" s="1"/>
      <c r="E214" s="28">
        <v>0</v>
      </c>
      <c r="F214" s="28">
        <v>0</v>
      </c>
      <c r="G214" s="28">
        <v>0</v>
      </c>
      <c r="H214" s="1" t="s">
        <v>414</v>
      </c>
      <c r="I214" s="2" t="s">
        <v>23</v>
      </c>
      <c r="J214" s="2">
        <v>100</v>
      </c>
      <c r="K214" s="2">
        <v>100</v>
      </c>
      <c r="L214" s="29">
        <v>100</v>
      </c>
    </row>
    <row r="215" spans="1:12" x14ac:dyDescent="0.25">
      <c r="A215" s="76" t="s">
        <v>415</v>
      </c>
      <c r="B215" s="79" t="s">
        <v>416</v>
      </c>
      <c r="C215" s="79" t="s">
        <v>190</v>
      </c>
      <c r="D215" s="24" t="s">
        <v>380</v>
      </c>
      <c r="E215" s="25">
        <f>SUM(E216:E218)+13</f>
        <v>13</v>
      </c>
      <c r="F215" s="25">
        <f>SUM(F216:F218)+13</f>
        <v>13</v>
      </c>
      <c r="G215" s="25">
        <f>SUM(G216:G218)+13</f>
        <v>13</v>
      </c>
      <c r="H215" s="24" t="s">
        <v>417</v>
      </c>
      <c r="I215" s="26" t="s">
        <v>23</v>
      </c>
      <c r="J215" s="26">
        <v>5</v>
      </c>
      <c r="K215" s="26">
        <v>5</v>
      </c>
      <c r="L215" s="27">
        <v>5</v>
      </c>
    </row>
    <row r="216" spans="1:12" x14ac:dyDescent="0.25">
      <c r="A216" s="77"/>
      <c r="B216" s="80"/>
      <c r="C216" s="80"/>
      <c r="D216" s="1"/>
      <c r="E216" s="28">
        <v>0</v>
      </c>
      <c r="F216" s="28">
        <v>0</v>
      </c>
      <c r="G216" s="28">
        <v>0</v>
      </c>
      <c r="H216" s="1" t="s">
        <v>418</v>
      </c>
      <c r="I216" s="2" t="s">
        <v>23</v>
      </c>
      <c r="J216" s="2">
        <v>16</v>
      </c>
      <c r="K216" s="2">
        <v>16</v>
      </c>
      <c r="L216" s="29">
        <v>16</v>
      </c>
    </row>
    <row r="217" spans="1:12" ht="30" x14ac:dyDescent="0.25">
      <c r="A217" s="77"/>
      <c r="B217" s="80"/>
      <c r="C217" s="80"/>
      <c r="D217" s="1"/>
      <c r="E217" s="28">
        <v>0</v>
      </c>
      <c r="F217" s="28">
        <v>0</v>
      </c>
      <c r="G217" s="28">
        <v>0</v>
      </c>
      <c r="H217" s="1" t="s">
        <v>419</v>
      </c>
      <c r="I217" s="2" t="s">
        <v>23</v>
      </c>
      <c r="J217" s="2">
        <v>2</v>
      </c>
      <c r="K217" s="2">
        <v>2</v>
      </c>
      <c r="L217" s="29">
        <v>2</v>
      </c>
    </row>
    <row r="218" spans="1:12" ht="30.75" thickBot="1" x14ac:dyDescent="0.3">
      <c r="A218" s="78"/>
      <c r="B218" s="81"/>
      <c r="C218" s="81"/>
      <c r="D218" s="1"/>
      <c r="E218" s="28">
        <v>0</v>
      </c>
      <c r="F218" s="28">
        <v>0</v>
      </c>
      <c r="G218" s="28">
        <v>0</v>
      </c>
      <c r="H218" s="1" t="s">
        <v>420</v>
      </c>
      <c r="I218" s="2" t="s">
        <v>23</v>
      </c>
      <c r="J218" s="2">
        <v>2</v>
      </c>
      <c r="K218" s="2">
        <v>2</v>
      </c>
      <c r="L218" s="29">
        <v>2</v>
      </c>
    </row>
    <row r="219" spans="1:12" x14ac:dyDescent="0.25">
      <c r="A219" s="76" t="s">
        <v>421</v>
      </c>
      <c r="B219" s="79" t="s">
        <v>422</v>
      </c>
      <c r="C219" s="79" t="s">
        <v>423</v>
      </c>
      <c r="D219" s="24"/>
      <c r="E219" s="25">
        <f>SUM(E220:E221)</f>
        <v>65</v>
      </c>
      <c r="F219" s="25">
        <f>SUM(F220:F221)</f>
        <v>33.700000000000003</v>
      </c>
      <c r="G219" s="25">
        <f>SUM(G220:G221)</f>
        <v>0</v>
      </c>
      <c r="H219" s="24" t="s">
        <v>424</v>
      </c>
      <c r="I219" s="26" t="s">
        <v>23</v>
      </c>
      <c r="J219" s="26">
        <v>1</v>
      </c>
      <c r="K219" s="26">
        <v>1</v>
      </c>
      <c r="L219" s="27"/>
    </row>
    <row r="220" spans="1:12" x14ac:dyDescent="0.25">
      <c r="A220" s="77"/>
      <c r="B220" s="80"/>
      <c r="C220" s="80"/>
      <c r="D220" s="1" t="s">
        <v>44</v>
      </c>
      <c r="E220" s="28">
        <v>0</v>
      </c>
      <c r="F220" s="28">
        <v>33.700000000000003</v>
      </c>
      <c r="G220" s="28">
        <v>0</v>
      </c>
      <c r="H220" s="106" t="s">
        <v>425</v>
      </c>
      <c r="I220" s="107" t="s">
        <v>23</v>
      </c>
      <c r="J220" s="107"/>
      <c r="K220" s="107">
        <v>1</v>
      </c>
      <c r="L220" s="108"/>
    </row>
    <row r="221" spans="1:12" ht="15.75" thickBot="1" x14ac:dyDescent="0.3">
      <c r="A221" s="78"/>
      <c r="B221" s="81"/>
      <c r="C221" s="81"/>
      <c r="D221" s="1" t="s">
        <v>29</v>
      </c>
      <c r="E221" s="28">
        <v>65</v>
      </c>
      <c r="F221" s="28"/>
      <c r="G221" s="28"/>
      <c r="H221" s="81"/>
      <c r="I221" s="101"/>
      <c r="J221" s="101"/>
      <c r="K221" s="101"/>
      <c r="L221" s="109"/>
    </row>
    <row r="222" spans="1:12" x14ac:dyDescent="0.25">
      <c r="A222" s="76" t="s">
        <v>426</v>
      </c>
      <c r="B222" s="79" t="s">
        <v>427</v>
      </c>
      <c r="C222" s="79" t="s">
        <v>423</v>
      </c>
      <c r="D222" s="24"/>
      <c r="E222" s="25">
        <f>SUM(E223:E224)</f>
        <v>100</v>
      </c>
      <c r="F222" s="25">
        <f>SUM(F223:F224)</f>
        <v>177.2</v>
      </c>
      <c r="G222" s="25">
        <f>SUM(G223:G224)</f>
        <v>0</v>
      </c>
      <c r="H222" s="24" t="s">
        <v>428</v>
      </c>
      <c r="I222" s="26" t="s">
        <v>28</v>
      </c>
      <c r="J222" s="26">
        <v>30</v>
      </c>
      <c r="K222" s="26">
        <v>100</v>
      </c>
      <c r="L222" s="27"/>
    </row>
    <row r="223" spans="1:12" x14ac:dyDescent="0.25">
      <c r="A223" s="77"/>
      <c r="B223" s="80"/>
      <c r="C223" s="80"/>
      <c r="D223" s="1" t="s">
        <v>44</v>
      </c>
      <c r="E223" s="28">
        <v>0</v>
      </c>
      <c r="F223" s="28">
        <v>177.2</v>
      </c>
      <c r="G223" s="28">
        <v>0</v>
      </c>
      <c r="H223" s="106" t="s">
        <v>429</v>
      </c>
      <c r="I223" s="107" t="s">
        <v>23</v>
      </c>
      <c r="J223" s="107"/>
      <c r="K223" s="107">
        <v>1</v>
      </c>
      <c r="L223" s="108"/>
    </row>
    <row r="224" spans="1:12" ht="15.75" thickBot="1" x14ac:dyDescent="0.3">
      <c r="A224" s="78"/>
      <c r="B224" s="81"/>
      <c r="C224" s="81"/>
      <c r="D224" s="1" t="s">
        <v>29</v>
      </c>
      <c r="E224" s="28">
        <v>100</v>
      </c>
      <c r="F224" s="28"/>
      <c r="G224" s="28"/>
      <c r="H224" s="81"/>
      <c r="I224" s="101"/>
      <c r="J224" s="101"/>
      <c r="K224" s="101"/>
      <c r="L224" s="109"/>
    </row>
    <row r="225" spans="1:12" ht="30" x14ac:dyDescent="0.25">
      <c r="A225" s="68" t="s">
        <v>430</v>
      </c>
      <c r="B225" s="70" t="s">
        <v>431</v>
      </c>
      <c r="C225" s="71"/>
      <c r="D225" s="72"/>
      <c r="E225" s="15">
        <f>SUM(E226:E227)</f>
        <v>5154.5</v>
      </c>
      <c r="F225" s="15">
        <f>SUM(F226:F227)</f>
        <v>5034</v>
      </c>
      <c r="G225" s="15">
        <f>SUM(G226:G227)</f>
        <v>5035</v>
      </c>
      <c r="H225" s="16" t="s">
        <v>432</v>
      </c>
      <c r="I225" s="17" t="s">
        <v>28</v>
      </c>
      <c r="J225" s="17">
        <v>10</v>
      </c>
      <c r="K225" s="17">
        <v>8</v>
      </c>
      <c r="L225" s="34">
        <v>5</v>
      </c>
    </row>
    <row r="226" spans="1:12" ht="15.75" thickBot="1" x14ac:dyDescent="0.3">
      <c r="A226" s="69"/>
      <c r="B226" s="73"/>
      <c r="C226" s="74"/>
      <c r="D226" s="75"/>
      <c r="E226" s="20">
        <v>0</v>
      </c>
      <c r="F226" s="20">
        <v>0</v>
      </c>
      <c r="G226" s="20">
        <v>0</v>
      </c>
      <c r="H226" s="21" t="s">
        <v>433</v>
      </c>
      <c r="I226" s="22" t="s">
        <v>434</v>
      </c>
      <c r="J226" s="22">
        <v>358</v>
      </c>
      <c r="K226" s="22">
        <v>358</v>
      </c>
      <c r="L226" s="23">
        <v>358</v>
      </c>
    </row>
    <row r="227" spans="1:12" x14ac:dyDescent="0.25">
      <c r="A227" s="76" t="s">
        <v>435</v>
      </c>
      <c r="B227" s="79" t="s">
        <v>436</v>
      </c>
      <c r="C227" s="79" t="s">
        <v>437</v>
      </c>
      <c r="D227" s="24"/>
      <c r="E227" s="25">
        <f>SUM(E228:E230)</f>
        <v>5154.5</v>
      </c>
      <c r="F227" s="25">
        <f>SUM(F228:F230)</f>
        <v>5034</v>
      </c>
      <c r="G227" s="25">
        <f>SUM(G228:G230)</f>
        <v>5035</v>
      </c>
      <c r="H227" s="24" t="s">
        <v>438</v>
      </c>
      <c r="I227" s="26" t="s">
        <v>439</v>
      </c>
      <c r="J227" s="44">
        <v>37000</v>
      </c>
      <c r="K227" s="44">
        <v>37000</v>
      </c>
      <c r="L227" s="45">
        <v>37000</v>
      </c>
    </row>
    <row r="228" spans="1:12" ht="25.5" customHeight="1" x14ac:dyDescent="0.25">
      <c r="A228" s="77"/>
      <c r="B228" s="80"/>
      <c r="C228" s="80"/>
      <c r="D228" s="1" t="s">
        <v>29</v>
      </c>
      <c r="E228" s="28">
        <v>124.5</v>
      </c>
      <c r="F228" s="28">
        <v>0</v>
      </c>
      <c r="G228" s="28">
        <v>0</v>
      </c>
      <c r="H228" s="106" t="s">
        <v>440</v>
      </c>
      <c r="I228" s="107" t="s">
        <v>28</v>
      </c>
      <c r="J228" s="107">
        <v>51</v>
      </c>
      <c r="K228" s="107">
        <v>52</v>
      </c>
      <c r="L228" s="108">
        <v>53</v>
      </c>
    </row>
    <row r="229" spans="1:12" x14ac:dyDescent="0.25">
      <c r="A229" s="77"/>
      <c r="B229" s="80"/>
      <c r="C229" s="80"/>
      <c r="D229" s="1" t="s">
        <v>380</v>
      </c>
      <c r="E229" s="28">
        <v>30</v>
      </c>
      <c r="F229" s="28">
        <v>34</v>
      </c>
      <c r="G229" s="28">
        <v>35</v>
      </c>
      <c r="H229" s="80"/>
      <c r="I229" s="100"/>
      <c r="J229" s="100"/>
      <c r="K229" s="100"/>
      <c r="L229" s="110"/>
    </row>
    <row r="230" spans="1:12" ht="15.75" thickBot="1" x14ac:dyDescent="0.3">
      <c r="A230" s="78"/>
      <c r="B230" s="81"/>
      <c r="C230" s="81"/>
      <c r="D230" s="1" t="s">
        <v>44</v>
      </c>
      <c r="E230" s="28">
        <v>5000</v>
      </c>
      <c r="F230" s="28">
        <v>5000</v>
      </c>
      <c r="G230" s="28">
        <v>5000</v>
      </c>
      <c r="H230" s="81"/>
      <c r="I230" s="101"/>
      <c r="J230" s="101"/>
      <c r="K230" s="101"/>
      <c r="L230" s="109"/>
    </row>
    <row r="231" spans="1:12" ht="30.75" thickBot="1" x14ac:dyDescent="0.3">
      <c r="A231" s="12" t="s">
        <v>441</v>
      </c>
      <c r="B231" s="13" t="s">
        <v>442</v>
      </c>
      <c r="C231" s="66" t="s">
        <v>443</v>
      </c>
      <c r="D231" s="67"/>
      <c r="E231" s="14">
        <f>E232+E278+E332</f>
        <v>55803.899999999994</v>
      </c>
      <c r="F231" s="14">
        <f>F232+F278+F332</f>
        <v>60829.1</v>
      </c>
      <c r="G231" s="14">
        <f>G232+G278+G332</f>
        <v>53697.1</v>
      </c>
      <c r="H231" s="93"/>
      <c r="I231" s="94"/>
      <c r="J231" s="94"/>
      <c r="K231" s="94"/>
      <c r="L231" s="95"/>
    </row>
    <row r="232" spans="1:12" ht="60.75" thickBot="1" x14ac:dyDescent="0.3">
      <c r="A232" s="33" t="s">
        <v>444</v>
      </c>
      <c r="B232" s="96" t="s">
        <v>445</v>
      </c>
      <c r="C232" s="97"/>
      <c r="D232" s="98"/>
      <c r="E232" s="15">
        <f>E233+E236+E258+E261+E262+E267+E270+E272+E275+E276+E277</f>
        <v>2903.7</v>
      </c>
      <c r="F232" s="15">
        <f>F233+F236+F258+F261+F262+F267+F270+F272+F275+F276+F277</f>
        <v>1068</v>
      </c>
      <c r="G232" s="15">
        <f>G233+G236+G258+G261+G262+G267+G270+G272+G275+G276+G277</f>
        <v>1083</v>
      </c>
      <c r="H232" s="16" t="s">
        <v>446</v>
      </c>
      <c r="I232" s="17" t="s">
        <v>28</v>
      </c>
      <c r="J232" s="17">
        <v>3</v>
      </c>
      <c r="K232" s="17">
        <v>4</v>
      </c>
      <c r="L232" s="34">
        <v>5</v>
      </c>
    </row>
    <row r="233" spans="1:12" x14ac:dyDescent="0.25">
      <c r="A233" s="76" t="s">
        <v>447</v>
      </c>
      <c r="B233" s="79" t="s">
        <v>448</v>
      </c>
      <c r="C233" s="79" t="s">
        <v>449</v>
      </c>
      <c r="D233" s="24"/>
      <c r="E233" s="25">
        <f>SUM(E234:E235)</f>
        <v>130.6</v>
      </c>
      <c r="F233" s="25">
        <f>SUM(F234:F235)</f>
        <v>0</v>
      </c>
      <c r="G233" s="25">
        <f>SUM(G234:G235)</f>
        <v>20</v>
      </c>
      <c r="H233" s="24" t="s">
        <v>450</v>
      </c>
      <c r="I233" s="26" t="s">
        <v>23</v>
      </c>
      <c r="J233" s="26">
        <v>1</v>
      </c>
      <c r="K233" s="26"/>
      <c r="L233" s="27"/>
    </row>
    <row r="234" spans="1:12" ht="76.5" customHeight="1" x14ac:dyDescent="0.25">
      <c r="A234" s="77"/>
      <c r="B234" s="80"/>
      <c r="C234" s="80"/>
      <c r="D234" s="1" t="s">
        <v>29</v>
      </c>
      <c r="E234" s="28">
        <v>65.3</v>
      </c>
      <c r="F234" s="28">
        <v>0</v>
      </c>
      <c r="G234" s="28">
        <v>0</v>
      </c>
      <c r="H234" s="106" t="s">
        <v>451</v>
      </c>
      <c r="I234" s="107" t="s">
        <v>23</v>
      </c>
      <c r="J234" s="107">
        <v>1</v>
      </c>
      <c r="K234" s="107"/>
      <c r="L234" s="108">
        <v>1</v>
      </c>
    </row>
    <row r="235" spans="1:12" ht="15.75" thickBot="1" x14ac:dyDescent="0.3">
      <c r="A235" s="78"/>
      <c r="B235" s="81"/>
      <c r="C235" s="81"/>
      <c r="D235" s="1" t="s">
        <v>44</v>
      </c>
      <c r="E235" s="28">
        <v>65.3</v>
      </c>
      <c r="F235" s="28"/>
      <c r="G235" s="28">
        <v>20</v>
      </c>
      <c r="H235" s="81"/>
      <c r="I235" s="101"/>
      <c r="J235" s="101"/>
      <c r="K235" s="101"/>
      <c r="L235" s="109"/>
    </row>
    <row r="236" spans="1:12" x14ac:dyDescent="0.25">
      <c r="A236" s="76" t="s">
        <v>452</v>
      </c>
      <c r="B236" s="79" t="s">
        <v>453</v>
      </c>
      <c r="C236" s="79" t="s">
        <v>449</v>
      </c>
      <c r="D236" s="24" t="s">
        <v>44</v>
      </c>
      <c r="E236" s="25">
        <f>SUM(E237:E257)+306</f>
        <v>306</v>
      </c>
      <c r="F236" s="25">
        <f>SUM(F237:F257)+250</f>
        <v>250</v>
      </c>
      <c r="G236" s="25">
        <f>SUM(G237:G257)+270</f>
        <v>270</v>
      </c>
      <c r="H236" s="24" t="s">
        <v>454</v>
      </c>
      <c r="I236" s="26" t="s">
        <v>23</v>
      </c>
      <c r="J236" s="26">
        <v>5</v>
      </c>
      <c r="K236" s="26">
        <v>11</v>
      </c>
      <c r="L236" s="27">
        <v>12</v>
      </c>
    </row>
    <row r="237" spans="1:12" ht="30" x14ac:dyDescent="0.25">
      <c r="A237" s="77"/>
      <c r="B237" s="80"/>
      <c r="C237" s="80"/>
      <c r="D237" s="1"/>
      <c r="E237" s="28">
        <v>0</v>
      </c>
      <c r="F237" s="28">
        <v>0</v>
      </c>
      <c r="G237" s="28">
        <v>0</v>
      </c>
      <c r="H237" s="1" t="s">
        <v>455</v>
      </c>
      <c r="I237" s="2" t="s">
        <v>23</v>
      </c>
      <c r="J237" s="2">
        <v>1</v>
      </c>
      <c r="K237" s="2"/>
      <c r="L237" s="29"/>
    </row>
    <row r="238" spans="1:12" ht="30" x14ac:dyDescent="0.25">
      <c r="A238" s="77"/>
      <c r="B238" s="80"/>
      <c r="C238" s="80"/>
      <c r="D238" s="1"/>
      <c r="E238" s="28">
        <v>0</v>
      </c>
      <c r="F238" s="28">
        <v>0</v>
      </c>
      <c r="G238" s="28">
        <v>0</v>
      </c>
      <c r="H238" s="1" t="s">
        <v>456</v>
      </c>
      <c r="I238" s="2" t="s">
        <v>23</v>
      </c>
      <c r="J238" s="2">
        <v>1</v>
      </c>
      <c r="K238" s="2"/>
      <c r="L238" s="29"/>
    </row>
    <row r="239" spans="1:12" ht="45" x14ac:dyDescent="0.25">
      <c r="A239" s="77"/>
      <c r="B239" s="80"/>
      <c r="C239" s="80"/>
      <c r="D239" s="1"/>
      <c r="E239" s="28">
        <v>0</v>
      </c>
      <c r="F239" s="28">
        <v>0</v>
      </c>
      <c r="G239" s="28">
        <v>0</v>
      </c>
      <c r="H239" s="1" t="s">
        <v>457</v>
      </c>
      <c r="I239" s="2" t="s">
        <v>23</v>
      </c>
      <c r="J239" s="2">
        <v>1</v>
      </c>
      <c r="K239" s="2"/>
      <c r="L239" s="29"/>
    </row>
    <row r="240" spans="1:12" ht="45" x14ac:dyDescent="0.25">
      <c r="A240" s="77"/>
      <c r="B240" s="80"/>
      <c r="C240" s="80"/>
      <c r="D240" s="1"/>
      <c r="E240" s="28">
        <v>0</v>
      </c>
      <c r="F240" s="28">
        <v>0</v>
      </c>
      <c r="G240" s="28">
        <v>0</v>
      </c>
      <c r="H240" s="1" t="s">
        <v>458</v>
      </c>
      <c r="I240" s="2" t="s">
        <v>23</v>
      </c>
      <c r="J240" s="2">
        <v>1</v>
      </c>
      <c r="K240" s="2"/>
      <c r="L240" s="29"/>
    </row>
    <row r="241" spans="1:12" ht="30" x14ac:dyDescent="0.25">
      <c r="A241" s="77"/>
      <c r="B241" s="80"/>
      <c r="C241" s="80"/>
      <c r="D241" s="1"/>
      <c r="E241" s="28">
        <v>0</v>
      </c>
      <c r="F241" s="28">
        <v>0</v>
      </c>
      <c r="G241" s="28">
        <v>0</v>
      </c>
      <c r="H241" s="1" t="s">
        <v>459</v>
      </c>
      <c r="I241" s="2" t="s">
        <v>23</v>
      </c>
      <c r="J241" s="2">
        <v>1</v>
      </c>
      <c r="K241" s="2"/>
      <c r="L241" s="29"/>
    </row>
    <row r="242" spans="1:12" ht="30" x14ac:dyDescent="0.25">
      <c r="A242" s="77"/>
      <c r="B242" s="80"/>
      <c r="C242" s="80"/>
      <c r="D242" s="1"/>
      <c r="E242" s="28">
        <v>0</v>
      </c>
      <c r="F242" s="28">
        <v>0</v>
      </c>
      <c r="G242" s="28">
        <v>0</v>
      </c>
      <c r="H242" s="1" t="s">
        <v>460</v>
      </c>
      <c r="I242" s="2" t="s">
        <v>23</v>
      </c>
      <c r="J242" s="2">
        <v>0</v>
      </c>
      <c r="K242" s="2">
        <v>0</v>
      </c>
      <c r="L242" s="29">
        <v>0</v>
      </c>
    </row>
    <row r="243" spans="1:12" ht="45" x14ac:dyDescent="0.25">
      <c r="A243" s="77"/>
      <c r="B243" s="80"/>
      <c r="C243" s="80"/>
      <c r="D243" s="1"/>
      <c r="E243" s="28">
        <v>0</v>
      </c>
      <c r="F243" s="28">
        <v>0</v>
      </c>
      <c r="G243" s="28">
        <v>0</v>
      </c>
      <c r="H243" s="1" t="s">
        <v>461</v>
      </c>
      <c r="I243" s="2" t="s">
        <v>23</v>
      </c>
      <c r="J243" s="2"/>
      <c r="K243" s="2">
        <v>1</v>
      </c>
      <c r="L243" s="29"/>
    </row>
    <row r="244" spans="1:12" ht="30" x14ac:dyDescent="0.25">
      <c r="A244" s="77"/>
      <c r="B244" s="80"/>
      <c r="C244" s="80"/>
      <c r="D244" s="1"/>
      <c r="E244" s="28">
        <v>0</v>
      </c>
      <c r="F244" s="28">
        <v>0</v>
      </c>
      <c r="G244" s="28">
        <v>0</v>
      </c>
      <c r="H244" s="1" t="s">
        <v>462</v>
      </c>
      <c r="I244" s="2" t="s">
        <v>23</v>
      </c>
      <c r="J244" s="2"/>
      <c r="K244" s="2">
        <v>1</v>
      </c>
      <c r="L244" s="29"/>
    </row>
    <row r="245" spans="1:12" ht="45" x14ac:dyDescent="0.25">
      <c r="A245" s="77"/>
      <c r="B245" s="80"/>
      <c r="C245" s="80"/>
      <c r="D245" s="1"/>
      <c r="E245" s="28">
        <v>0</v>
      </c>
      <c r="F245" s="28">
        <v>0</v>
      </c>
      <c r="G245" s="28">
        <v>0</v>
      </c>
      <c r="H245" s="1" t="s">
        <v>463</v>
      </c>
      <c r="I245" s="2" t="s">
        <v>23</v>
      </c>
      <c r="J245" s="2"/>
      <c r="K245" s="2">
        <v>1</v>
      </c>
      <c r="L245" s="29"/>
    </row>
    <row r="246" spans="1:12" ht="45" x14ac:dyDescent="0.25">
      <c r="A246" s="77"/>
      <c r="B246" s="80"/>
      <c r="C246" s="80"/>
      <c r="D246" s="1"/>
      <c r="E246" s="28">
        <v>0</v>
      </c>
      <c r="F246" s="28">
        <v>0</v>
      </c>
      <c r="G246" s="28">
        <v>0</v>
      </c>
      <c r="H246" s="1" t="s">
        <v>464</v>
      </c>
      <c r="I246" s="2" t="s">
        <v>23</v>
      </c>
      <c r="J246" s="2"/>
      <c r="K246" s="2">
        <v>1</v>
      </c>
      <c r="L246" s="29"/>
    </row>
    <row r="247" spans="1:12" ht="30" x14ac:dyDescent="0.25">
      <c r="A247" s="77"/>
      <c r="B247" s="80"/>
      <c r="C247" s="80"/>
      <c r="D247" s="1"/>
      <c r="E247" s="28">
        <v>0</v>
      </c>
      <c r="F247" s="28">
        <v>0</v>
      </c>
      <c r="G247" s="28">
        <v>0</v>
      </c>
      <c r="H247" s="1" t="s">
        <v>465</v>
      </c>
      <c r="I247" s="2" t="s">
        <v>23</v>
      </c>
      <c r="J247" s="2"/>
      <c r="K247" s="2">
        <v>1</v>
      </c>
      <c r="L247" s="29"/>
    </row>
    <row r="248" spans="1:12" ht="45" x14ac:dyDescent="0.25">
      <c r="A248" s="77"/>
      <c r="B248" s="80"/>
      <c r="C248" s="80"/>
      <c r="D248" s="1"/>
      <c r="E248" s="28">
        <v>0</v>
      </c>
      <c r="F248" s="28">
        <v>0</v>
      </c>
      <c r="G248" s="28">
        <v>0</v>
      </c>
      <c r="H248" s="1" t="s">
        <v>466</v>
      </c>
      <c r="I248" s="2" t="s">
        <v>23</v>
      </c>
      <c r="J248" s="2"/>
      <c r="K248" s="2">
        <v>1</v>
      </c>
      <c r="L248" s="29"/>
    </row>
    <row r="249" spans="1:12" ht="45" x14ac:dyDescent="0.25">
      <c r="A249" s="77"/>
      <c r="B249" s="80"/>
      <c r="C249" s="80"/>
      <c r="D249" s="1"/>
      <c r="E249" s="28">
        <v>0</v>
      </c>
      <c r="F249" s="28">
        <v>0</v>
      </c>
      <c r="G249" s="28">
        <v>0</v>
      </c>
      <c r="H249" s="1" t="s">
        <v>467</v>
      </c>
      <c r="I249" s="2" t="s">
        <v>23</v>
      </c>
      <c r="J249" s="2"/>
      <c r="K249" s="2">
        <v>1</v>
      </c>
      <c r="L249" s="29"/>
    </row>
    <row r="250" spans="1:12" ht="60" x14ac:dyDescent="0.25">
      <c r="A250" s="77"/>
      <c r="B250" s="80"/>
      <c r="C250" s="80"/>
      <c r="D250" s="1"/>
      <c r="E250" s="28">
        <v>0</v>
      </c>
      <c r="F250" s="28">
        <v>0</v>
      </c>
      <c r="G250" s="28">
        <v>0</v>
      </c>
      <c r="H250" s="1" t="s">
        <v>468</v>
      </c>
      <c r="I250" s="2" t="s">
        <v>23</v>
      </c>
      <c r="J250" s="2"/>
      <c r="K250" s="2">
        <v>1</v>
      </c>
      <c r="L250" s="29"/>
    </row>
    <row r="251" spans="1:12" ht="45" x14ac:dyDescent="0.25">
      <c r="A251" s="77"/>
      <c r="B251" s="80"/>
      <c r="C251" s="80"/>
      <c r="D251" s="1"/>
      <c r="E251" s="28">
        <v>0</v>
      </c>
      <c r="F251" s="28">
        <v>0</v>
      </c>
      <c r="G251" s="28">
        <v>0</v>
      </c>
      <c r="H251" s="1" t="s">
        <v>469</v>
      </c>
      <c r="I251" s="2" t="s">
        <v>23</v>
      </c>
      <c r="J251" s="2"/>
      <c r="K251" s="2">
        <v>1</v>
      </c>
      <c r="L251" s="29"/>
    </row>
    <row r="252" spans="1:12" ht="30" x14ac:dyDescent="0.25">
      <c r="A252" s="77"/>
      <c r="B252" s="80"/>
      <c r="C252" s="80"/>
      <c r="D252" s="1"/>
      <c r="E252" s="28">
        <v>0</v>
      </c>
      <c r="F252" s="28">
        <v>0</v>
      </c>
      <c r="G252" s="28">
        <v>0</v>
      </c>
      <c r="H252" s="1" t="s">
        <v>470</v>
      </c>
      <c r="I252" s="2" t="s">
        <v>23</v>
      </c>
      <c r="J252" s="2"/>
      <c r="K252" s="2">
        <v>1</v>
      </c>
      <c r="L252" s="29"/>
    </row>
    <row r="253" spans="1:12" ht="30" x14ac:dyDescent="0.25">
      <c r="A253" s="77"/>
      <c r="B253" s="80"/>
      <c r="C253" s="80"/>
      <c r="D253" s="1"/>
      <c r="E253" s="28">
        <v>0</v>
      </c>
      <c r="F253" s="28">
        <v>0</v>
      </c>
      <c r="G253" s="28">
        <v>0</v>
      </c>
      <c r="H253" s="1" t="s">
        <v>471</v>
      </c>
      <c r="I253" s="2" t="s">
        <v>23</v>
      </c>
      <c r="J253" s="2"/>
      <c r="K253" s="2">
        <v>1</v>
      </c>
      <c r="L253" s="29"/>
    </row>
    <row r="254" spans="1:12" ht="30" x14ac:dyDescent="0.25">
      <c r="A254" s="77"/>
      <c r="B254" s="80"/>
      <c r="C254" s="80"/>
      <c r="D254" s="1"/>
      <c r="E254" s="28">
        <v>0</v>
      </c>
      <c r="F254" s="28">
        <v>0</v>
      </c>
      <c r="G254" s="28">
        <v>0</v>
      </c>
      <c r="H254" s="1" t="s">
        <v>472</v>
      </c>
      <c r="I254" s="2" t="s">
        <v>23</v>
      </c>
      <c r="J254" s="2"/>
      <c r="K254" s="2"/>
      <c r="L254" s="29">
        <v>1</v>
      </c>
    </row>
    <row r="255" spans="1:12" ht="45" x14ac:dyDescent="0.25">
      <c r="A255" s="77"/>
      <c r="B255" s="80"/>
      <c r="C255" s="80"/>
      <c r="D255" s="1"/>
      <c r="E255" s="28">
        <v>0</v>
      </c>
      <c r="F255" s="28">
        <v>0</v>
      </c>
      <c r="G255" s="28">
        <v>0</v>
      </c>
      <c r="H255" s="1" t="s">
        <v>473</v>
      </c>
      <c r="I255" s="2" t="s">
        <v>23</v>
      </c>
      <c r="J255" s="2"/>
      <c r="K255" s="2"/>
      <c r="L255" s="29">
        <v>1</v>
      </c>
    </row>
    <row r="256" spans="1:12" ht="45" x14ac:dyDescent="0.25">
      <c r="A256" s="77"/>
      <c r="B256" s="80"/>
      <c r="C256" s="80"/>
      <c r="D256" s="1"/>
      <c r="E256" s="28">
        <v>0</v>
      </c>
      <c r="F256" s="28">
        <v>0</v>
      </c>
      <c r="G256" s="28">
        <v>0</v>
      </c>
      <c r="H256" s="1" t="s">
        <v>474</v>
      </c>
      <c r="I256" s="2" t="s">
        <v>23</v>
      </c>
      <c r="J256" s="2"/>
      <c r="K256" s="2"/>
      <c r="L256" s="29">
        <v>1</v>
      </c>
    </row>
    <row r="257" spans="1:12" ht="45.75" thickBot="1" x14ac:dyDescent="0.3">
      <c r="A257" s="78"/>
      <c r="B257" s="81"/>
      <c r="C257" s="81"/>
      <c r="D257" s="1"/>
      <c r="E257" s="28">
        <v>0</v>
      </c>
      <c r="F257" s="28">
        <v>0</v>
      </c>
      <c r="G257" s="28">
        <v>0</v>
      </c>
      <c r="H257" s="1" t="s">
        <v>475</v>
      </c>
      <c r="I257" s="2" t="s">
        <v>23</v>
      </c>
      <c r="J257" s="2"/>
      <c r="K257" s="2"/>
      <c r="L257" s="29">
        <v>1</v>
      </c>
    </row>
    <row r="258" spans="1:12" ht="45" x14ac:dyDescent="0.25">
      <c r="A258" s="76" t="s">
        <v>476</v>
      </c>
      <c r="B258" s="79" t="s">
        <v>477</v>
      </c>
      <c r="C258" s="79" t="s">
        <v>478</v>
      </c>
      <c r="D258" s="24"/>
      <c r="E258" s="25">
        <f>SUM(E259:E260)</f>
        <v>25</v>
      </c>
      <c r="F258" s="25">
        <f>SUM(F259:F260)</f>
        <v>5</v>
      </c>
      <c r="G258" s="25">
        <f>SUM(G259:G260)</f>
        <v>10</v>
      </c>
      <c r="H258" s="24" t="s">
        <v>479</v>
      </c>
      <c r="I258" s="26" t="s">
        <v>28</v>
      </c>
      <c r="J258" s="26">
        <v>20</v>
      </c>
      <c r="K258" s="26">
        <v>20</v>
      </c>
      <c r="L258" s="27">
        <v>20</v>
      </c>
    </row>
    <row r="259" spans="1:12" x14ac:dyDescent="0.25">
      <c r="A259" s="77"/>
      <c r="B259" s="80"/>
      <c r="C259" s="80"/>
      <c r="D259" s="1" t="s">
        <v>29</v>
      </c>
      <c r="E259" s="28">
        <v>20</v>
      </c>
      <c r="F259" s="28">
        <v>0</v>
      </c>
      <c r="G259" s="28">
        <v>0</v>
      </c>
      <c r="H259" s="106" t="s">
        <v>480</v>
      </c>
      <c r="I259" s="107" t="s">
        <v>23</v>
      </c>
      <c r="J259" s="107">
        <v>1</v>
      </c>
      <c r="K259" s="107">
        <v>1</v>
      </c>
      <c r="L259" s="108">
        <v>1</v>
      </c>
    </row>
    <row r="260" spans="1:12" ht="15.75" thickBot="1" x14ac:dyDescent="0.3">
      <c r="A260" s="78"/>
      <c r="B260" s="81"/>
      <c r="C260" s="81"/>
      <c r="D260" s="1" t="s">
        <v>44</v>
      </c>
      <c r="E260" s="28">
        <v>5</v>
      </c>
      <c r="F260" s="28">
        <v>5</v>
      </c>
      <c r="G260" s="28">
        <v>10</v>
      </c>
      <c r="H260" s="81"/>
      <c r="I260" s="101"/>
      <c r="J260" s="101"/>
      <c r="K260" s="101"/>
      <c r="L260" s="109"/>
    </row>
    <row r="261" spans="1:12" ht="45.75" thickBot="1" x14ac:dyDescent="0.3">
      <c r="A261" s="30" t="s">
        <v>481</v>
      </c>
      <c r="B261" s="31" t="s">
        <v>482</v>
      </c>
      <c r="C261" s="24" t="s">
        <v>478</v>
      </c>
      <c r="D261" s="24" t="s">
        <v>44</v>
      </c>
      <c r="E261" s="32">
        <v>50</v>
      </c>
      <c r="F261" s="32">
        <v>20</v>
      </c>
      <c r="G261" s="32">
        <v>50</v>
      </c>
      <c r="H261" s="24" t="s">
        <v>483</v>
      </c>
      <c r="I261" s="26" t="s">
        <v>23</v>
      </c>
      <c r="J261" s="26">
        <v>80</v>
      </c>
      <c r="K261" s="26">
        <v>50</v>
      </c>
      <c r="L261" s="27">
        <v>50</v>
      </c>
    </row>
    <row r="262" spans="1:12" ht="30" x14ac:dyDescent="0.25">
      <c r="A262" s="76" t="s">
        <v>484</v>
      </c>
      <c r="B262" s="79" t="s">
        <v>485</v>
      </c>
      <c r="C262" s="79" t="s">
        <v>486</v>
      </c>
      <c r="D262" s="24"/>
      <c r="E262" s="25">
        <f>SUM(E263:E266)</f>
        <v>220</v>
      </c>
      <c r="F262" s="25">
        <f>SUM(F263:F266)</f>
        <v>30</v>
      </c>
      <c r="G262" s="25">
        <f>SUM(G263:G266)</f>
        <v>30</v>
      </c>
      <c r="H262" s="24" t="s">
        <v>487</v>
      </c>
      <c r="I262" s="26" t="s">
        <v>23</v>
      </c>
      <c r="J262" s="26">
        <v>1</v>
      </c>
      <c r="K262" s="26">
        <v>1</v>
      </c>
      <c r="L262" s="27">
        <v>1</v>
      </c>
    </row>
    <row r="263" spans="1:12" ht="30" x14ac:dyDescent="0.25">
      <c r="A263" s="77"/>
      <c r="B263" s="80"/>
      <c r="C263" s="80"/>
      <c r="D263" s="1" t="s">
        <v>29</v>
      </c>
      <c r="E263" s="28">
        <v>190</v>
      </c>
      <c r="F263" s="28">
        <v>0</v>
      </c>
      <c r="G263" s="28">
        <v>0</v>
      </c>
      <c r="H263" s="1" t="s">
        <v>488</v>
      </c>
      <c r="I263" s="2" t="s">
        <v>28</v>
      </c>
      <c r="J263" s="2">
        <v>100</v>
      </c>
      <c r="K263" s="2"/>
      <c r="L263" s="29"/>
    </row>
    <row r="264" spans="1:12" ht="30" x14ac:dyDescent="0.25">
      <c r="A264" s="77"/>
      <c r="B264" s="80"/>
      <c r="C264" s="80"/>
      <c r="D264" s="1" t="s">
        <v>44</v>
      </c>
      <c r="E264" s="28">
        <v>30</v>
      </c>
      <c r="F264" s="28">
        <v>30</v>
      </c>
      <c r="G264" s="28">
        <v>30</v>
      </c>
      <c r="H264" s="1" t="s">
        <v>489</v>
      </c>
      <c r="I264" s="2" t="s">
        <v>23</v>
      </c>
      <c r="J264" s="2">
        <v>1</v>
      </c>
      <c r="K264" s="2">
        <v>1</v>
      </c>
      <c r="L264" s="29">
        <v>1</v>
      </c>
    </row>
    <row r="265" spans="1:12" ht="60" x14ac:dyDescent="0.25">
      <c r="A265" s="77"/>
      <c r="B265" s="80"/>
      <c r="C265" s="80"/>
      <c r="D265" s="1"/>
      <c r="E265" s="28">
        <v>0</v>
      </c>
      <c r="F265" s="28">
        <v>0</v>
      </c>
      <c r="G265" s="28">
        <v>0</v>
      </c>
      <c r="H265" s="1" t="s">
        <v>490</v>
      </c>
      <c r="I265" s="2" t="s">
        <v>23</v>
      </c>
      <c r="J265" s="2">
        <v>1</v>
      </c>
      <c r="K265" s="2">
        <v>1</v>
      </c>
      <c r="L265" s="29">
        <v>1</v>
      </c>
    </row>
    <row r="266" spans="1:12" ht="30.75" thickBot="1" x14ac:dyDescent="0.3">
      <c r="A266" s="78"/>
      <c r="B266" s="81"/>
      <c r="C266" s="81"/>
      <c r="D266" s="1"/>
      <c r="E266" s="28">
        <v>0</v>
      </c>
      <c r="F266" s="28">
        <v>0</v>
      </c>
      <c r="G266" s="28">
        <v>0</v>
      </c>
      <c r="H266" s="1" t="s">
        <v>491</v>
      </c>
      <c r="I266" s="2" t="s">
        <v>23</v>
      </c>
      <c r="J266" s="2">
        <v>1</v>
      </c>
      <c r="K266" s="2">
        <v>1</v>
      </c>
      <c r="L266" s="29">
        <v>0</v>
      </c>
    </row>
    <row r="267" spans="1:12" ht="27.75" customHeight="1" x14ac:dyDescent="0.25">
      <c r="A267" s="76" t="s">
        <v>492</v>
      </c>
      <c r="B267" s="79" t="s">
        <v>493</v>
      </c>
      <c r="C267" s="79" t="s">
        <v>494</v>
      </c>
      <c r="D267" s="24"/>
      <c r="E267" s="25">
        <f>SUM(E268:E269)</f>
        <v>2085.1999999999998</v>
      </c>
      <c r="F267" s="25">
        <f>SUM(F268:F269)</f>
        <v>680</v>
      </c>
      <c r="G267" s="25">
        <f>SUM(G268:G269)</f>
        <v>630</v>
      </c>
      <c r="H267" s="24" t="s">
        <v>495</v>
      </c>
      <c r="I267" s="26" t="s">
        <v>23</v>
      </c>
      <c r="J267" s="26">
        <v>3</v>
      </c>
      <c r="K267" s="26">
        <v>3</v>
      </c>
      <c r="L267" s="27">
        <v>3</v>
      </c>
    </row>
    <row r="268" spans="1:12" ht="30" x14ac:dyDescent="0.25">
      <c r="A268" s="77"/>
      <c r="B268" s="80"/>
      <c r="C268" s="80"/>
      <c r="D268" s="1" t="s">
        <v>29</v>
      </c>
      <c r="E268" s="28">
        <v>373.2</v>
      </c>
      <c r="F268" s="28">
        <v>0</v>
      </c>
      <c r="G268" s="28">
        <v>0</v>
      </c>
      <c r="H268" s="1" t="s">
        <v>496</v>
      </c>
      <c r="I268" s="2" t="s">
        <v>23</v>
      </c>
      <c r="J268" s="2">
        <v>9</v>
      </c>
      <c r="K268" s="2">
        <v>4</v>
      </c>
      <c r="L268" s="29">
        <v>6</v>
      </c>
    </row>
    <row r="269" spans="1:12" ht="30.75" thickBot="1" x14ac:dyDescent="0.3">
      <c r="A269" s="78"/>
      <c r="B269" s="81"/>
      <c r="C269" s="81"/>
      <c r="D269" s="1" t="s">
        <v>44</v>
      </c>
      <c r="E269" s="28">
        <v>1712</v>
      </c>
      <c r="F269" s="28">
        <v>680</v>
      </c>
      <c r="G269" s="28">
        <v>630</v>
      </c>
      <c r="H269" s="1" t="s">
        <v>497</v>
      </c>
      <c r="I269" s="2" t="s">
        <v>23</v>
      </c>
      <c r="J269" s="2">
        <v>8</v>
      </c>
      <c r="K269" s="2">
        <v>8</v>
      </c>
      <c r="L269" s="29">
        <v>8</v>
      </c>
    </row>
    <row r="270" spans="1:12" ht="45" x14ac:dyDescent="0.25">
      <c r="A270" s="76" t="s">
        <v>498</v>
      </c>
      <c r="B270" s="79" t="s">
        <v>499</v>
      </c>
      <c r="C270" s="79" t="s">
        <v>449</v>
      </c>
      <c r="D270" s="24" t="s">
        <v>44</v>
      </c>
      <c r="E270" s="25">
        <f>SUM(E271:E271)+25</f>
        <v>25</v>
      </c>
      <c r="F270" s="25">
        <f>SUM(F271:F271)+20</f>
        <v>20</v>
      </c>
      <c r="G270" s="25">
        <f>SUM(G271:G271)+20</f>
        <v>20</v>
      </c>
      <c r="H270" s="24" t="s">
        <v>500</v>
      </c>
      <c r="I270" s="26" t="s">
        <v>23</v>
      </c>
      <c r="J270" s="26">
        <v>1</v>
      </c>
      <c r="K270" s="26">
        <v>1</v>
      </c>
      <c r="L270" s="27">
        <v>1</v>
      </c>
    </row>
    <row r="271" spans="1:12" ht="30.75" thickBot="1" x14ac:dyDescent="0.3">
      <c r="A271" s="78"/>
      <c r="B271" s="81"/>
      <c r="C271" s="81"/>
      <c r="D271" s="1"/>
      <c r="E271" s="28">
        <v>0</v>
      </c>
      <c r="F271" s="28">
        <v>0</v>
      </c>
      <c r="G271" s="28">
        <v>0</v>
      </c>
      <c r="H271" s="1" t="s">
        <v>501</v>
      </c>
      <c r="I271" s="2" t="s">
        <v>23</v>
      </c>
      <c r="J271" s="2">
        <v>1</v>
      </c>
      <c r="K271" s="2">
        <v>1</v>
      </c>
      <c r="L271" s="29">
        <v>1</v>
      </c>
    </row>
    <row r="272" spans="1:12" ht="75" x14ac:dyDescent="0.25">
      <c r="A272" s="76" t="s">
        <v>502</v>
      </c>
      <c r="B272" s="79" t="s">
        <v>503</v>
      </c>
      <c r="C272" s="79" t="s">
        <v>449</v>
      </c>
      <c r="D272" s="24" t="s">
        <v>44</v>
      </c>
      <c r="E272" s="25">
        <f>SUM(E273:E274)+30</f>
        <v>30</v>
      </c>
      <c r="F272" s="25">
        <f>SUM(F273:F274)+35</f>
        <v>35</v>
      </c>
      <c r="G272" s="25">
        <f>SUM(G273:G274)+30</f>
        <v>30</v>
      </c>
      <c r="H272" s="24" t="s">
        <v>504</v>
      </c>
      <c r="I272" s="26" t="s">
        <v>23</v>
      </c>
      <c r="J272" s="26">
        <v>70</v>
      </c>
      <c r="K272" s="26">
        <v>85</v>
      </c>
      <c r="L272" s="27">
        <v>100</v>
      </c>
    </row>
    <row r="273" spans="1:12" ht="75" x14ac:dyDescent="0.25">
      <c r="A273" s="77"/>
      <c r="B273" s="80"/>
      <c r="C273" s="80"/>
      <c r="D273" s="1"/>
      <c r="E273" s="28">
        <v>0</v>
      </c>
      <c r="F273" s="28">
        <v>0</v>
      </c>
      <c r="G273" s="28">
        <v>0</v>
      </c>
      <c r="H273" s="1" t="s">
        <v>505</v>
      </c>
      <c r="I273" s="2" t="s">
        <v>384</v>
      </c>
      <c r="J273" s="2"/>
      <c r="K273" s="2">
        <v>1</v>
      </c>
      <c r="L273" s="29">
        <v>2</v>
      </c>
    </row>
    <row r="274" spans="1:12" ht="45.75" thickBot="1" x14ac:dyDescent="0.3">
      <c r="A274" s="78"/>
      <c r="B274" s="81"/>
      <c r="C274" s="81"/>
      <c r="D274" s="1"/>
      <c r="E274" s="28">
        <v>0</v>
      </c>
      <c r="F274" s="28">
        <v>0</v>
      </c>
      <c r="G274" s="28">
        <v>0</v>
      </c>
      <c r="H274" s="1" t="s">
        <v>506</v>
      </c>
      <c r="I274" s="2" t="s">
        <v>384</v>
      </c>
      <c r="J274" s="2"/>
      <c r="K274" s="2">
        <v>1</v>
      </c>
      <c r="L274" s="29">
        <v>1</v>
      </c>
    </row>
    <row r="275" spans="1:12" ht="45.75" thickBot="1" x14ac:dyDescent="0.3">
      <c r="A275" s="30" t="s">
        <v>507</v>
      </c>
      <c r="B275" s="31" t="s">
        <v>508</v>
      </c>
      <c r="C275" s="24" t="s">
        <v>325</v>
      </c>
      <c r="D275" s="24" t="s">
        <v>44</v>
      </c>
      <c r="E275" s="32">
        <v>13</v>
      </c>
      <c r="F275" s="32">
        <v>13</v>
      </c>
      <c r="G275" s="32">
        <v>13</v>
      </c>
      <c r="H275" s="24" t="s">
        <v>509</v>
      </c>
      <c r="I275" s="26" t="s">
        <v>23</v>
      </c>
      <c r="J275" s="26">
        <v>2</v>
      </c>
      <c r="K275" s="26">
        <v>2</v>
      </c>
      <c r="L275" s="27">
        <v>2</v>
      </c>
    </row>
    <row r="276" spans="1:12" ht="30" x14ac:dyDescent="0.25">
      <c r="A276" s="30" t="s">
        <v>510</v>
      </c>
      <c r="B276" s="31" t="s">
        <v>511</v>
      </c>
      <c r="C276" s="24" t="s">
        <v>325</v>
      </c>
      <c r="D276" s="24" t="s">
        <v>44</v>
      </c>
      <c r="E276" s="32">
        <v>15</v>
      </c>
      <c r="F276" s="32">
        <v>15</v>
      </c>
      <c r="G276" s="32">
        <v>10</v>
      </c>
      <c r="H276" s="24" t="s">
        <v>512</v>
      </c>
      <c r="I276" s="26" t="s">
        <v>23</v>
      </c>
      <c r="J276" s="26">
        <v>4</v>
      </c>
      <c r="K276" s="26">
        <v>4</v>
      </c>
      <c r="L276" s="27">
        <v>4</v>
      </c>
    </row>
    <row r="277" spans="1:12" ht="40.5" customHeight="1" thickBot="1" x14ac:dyDescent="0.3">
      <c r="A277" s="30" t="s">
        <v>513</v>
      </c>
      <c r="B277" s="31" t="s">
        <v>514</v>
      </c>
      <c r="C277" s="24" t="s">
        <v>515</v>
      </c>
      <c r="D277" s="24" t="s">
        <v>31</v>
      </c>
      <c r="E277" s="32">
        <v>3.9</v>
      </c>
      <c r="F277" s="32">
        <v>0</v>
      </c>
      <c r="G277" s="32">
        <v>0</v>
      </c>
      <c r="H277" s="24" t="s">
        <v>516</v>
      </c>
      <c r="I277" s="26" t="s">
        <v>123</v>
      </c>
      <c r="J277" s="26">
        <v>7</v>
      </c>
      <c r="K277" s="26"/>
      <c r="L277" s="27"/>
    </row>
    <row r="278" spans="1:12" x14ac:dyDescent="0.25">
      <c r="A278" s="68" t="s">
        <v>517</v>
      </c>
      <c r="B278" s="70" t="s">
        <v>518</v>
      </c>
      <c r="C278" s="71"/>
      <c r="D278" s="72"/>
      <c r="E278" s="15">
        <f>E279+E280+E281+E282+E283+E284+E285+E286+E290+E295+E299+E303+E306+E312+E317+E320+E331</f>
        <v>38442.300000000003</v>
      </c>
      <c r="F278" s="15">
        <f>F279+F280+F281+F282+F283+F284+F285+F286+F290+F295+F299+F303+F306+F312+F317+F320+F331</f>
        <v>52442.5</v>
      </c>
      <c r="G278" s="15">
        <f>G279+G280+G281+G282+G283+G284+G285+G286+G290+G295+G299+G303+G306+G312+G317+G320+G331</f>
        <v>44827.1</v>
      </c>
      <c r="H278" s="16" t="s">
        <v>519</v>
      </c>
      <c r="I278" s="17" t="s">
        <v>28</v>
      </c>
      <c r="J278" s="17">
        <v>29</v>
      </c>
      <c r="K278" s="17">
        <v>27</v>
      </c>
      <c r="L278" s="34">
        <v>25</v>
      </c>
    </row>
    <row r="279" spans="1:12" ht="30" x14ac:dyDescent="0.25">
      <c r="A279" s="102"/>
      <c r="B279" s="103"/>
      <c r="C279" s="104"/>
      <c r="D279" s="105"/>
      <c r="E279" s="20">
        <v>0</v>
      </c>
      <c r="F279" s="20">
        <v>0</v>
      </c>
      <c r="G279" s="20">
        <v>0</v>
      </c>
      <c r="H279" s="21" t="s">
        <v>520</v>
      </c>
      <c r="I279" s="22" t="s">
        <v>28</v>
      </c>
      <c r="J279" s="22">
        <v>2</v>
      </c>
      <c r="K279" s="22">
        <v>4</v>
      </c>
      <c r="L279" s="23">
        <v>7</v>
      </c>
    </row>
    <row r="280" spans="1:12" ht="30" x14ac:dyDescent="0.25">
      <c r="A280" s="102"/>
      <c r="B280" s="103"/>
      <c r="C280" s="104"/>
      <c r="D280" s="105"/>
      <c r="E280" s="20">
        <v>0</v>
      </c>
      <c r="F280" s="20">
        <v>0</v>
      </c>
      <c r="G280" s="20">
        <v>0</v>
      </c>
      <c r="H280" s="21" t="s">
        <v>521</v>
      </c>
      <c r="I280" s="22" t="s">
        <v>402</v>
      </c>
      <c r="J280" s="22">
        <v>1</v>
      </c>
      <c r="K280" s="22">
        <v>1</v>
      </c>
      <c r="L280" s="23">
        <v>1</v>
      </c>
    </row>
    <row r="281" spans="1:12" x14ac:dyDescent="0.25">
      <c r="A281" s="102"/>
      <c r="B281" s="103"/>
      <c r="C281" s="104"/>
      <c r="D281" s="105"/>
      <c r="E281" s="20">
        <v>0</v>
      </c>
      <c r="F281" s="20">
        <v>0</v>
      </c>
      <c r="G281" s="20">
        <v>0</v>
      </c>
      <c r="H281" s="21" t="s">
        <v>522</v>
      </c>
      <c r="I281" s="22" t="s">
        <v>28</v>
      </c>
      <c r="J281" s="22">
        <v>33</v>
      </c>
      <c r="K281" s="22">
        <v>33</v>
      </c>
      <c r="L281" s="23">
        <v>33</v>
      </c>
    </row>
    <row r="282" spans="1:12" ht="30" x14ac:dyDescent="0.25">
      <c r="A282" s="102"/>
      <c r="B282" s="103"/>
      <c r="C282" s="104"/>
      <c r="D282" s="105"/>
      <c r="E282" s="20">
        <v>0</v>
      </c>
      <c r="F282" s="20">
        <v>0</v>
      </c>
      <c r="G282" s="20">
        <v>0</v>
      </c>
      <c r="H282" s="21" t="s">
        <v>523</v>
      </c>
      <c r="I282" s="22" t="s">
        <v>28</v>
      </c>
      <c r="J282" s="22">
        <v>33</v>
      </c>
      <c r="K282" s="22">
        <v>33</v>
      </c>
      <c r="L282" s="23">
        <v>33</v>
      </c>
    </row>
    <row r="283" spans="1:12" x14ac:dyDescent="0.25">
      <c r="A283" s="102"/>
      <c r="B283" s="103"/>
      <c r="C283" s="104"/>
      <c r="D283" s="105"/>
      <c r="E283" s="20">
        <v>0</v>
      </c>
      <c r="F283" s="20">
        <v>0</v>
      </c>
      <c r="G283" s="20">
        <v>0</v>
      </c>
      <c r="H283" s="21" t="s">
        <v>524</v>
      </c>
      <c r="I283" s="22" t="s">
        <v>28</v>
      </c>
      <c r="J283" s="22">
        <v>10</v>
      </c>
      <c r="K283" s="22">
        <v>10</v>
      </c>
      <c r="L283" s="23">
        <v>10</v>
      </c>
    </row>
    <row r="284" spans="1:12" x14ac:dyDescent="0.25">
      <c r="A284" s="102"/>
      <c r="B284" s="103"/>
      <c r="C284" s="104"/>
      <c r="D284" s="105"/>
      <c r="E284" s="20">
        <v>0</v>
      </c>
      <c r="F284" s="20">
        <v>0</v>
      </c>
      <c r="G284" s="20">
        <v>0</v>
      </c>
      <c r="H284" s="21" t="s">
        <v>525</v>
      </c>
      <c r="I284" s="22" t="s">
        <v>28</v>
      </c>
      <c r="J284" s="22">
        <v>24</v>
      </c>
      <c r="K284" s="22">
        <v>24</v>
      </c>
      <c r="L284" s="23">
        <v>24</v>
      </c>
    </row>
    <row r="285" spans="1:12" ht="30.75" thickBot="1" x14ac:dyDescent="0.3">
      <c r="A285" s="69"/>
      <c r="B285" s="73"/>
      <c r="C285" s="74"/>
      <c r="D285" s="75"/>
      <c r="E285" s="20">
        <v>0</v>
      </c>
      <c r="F285" s="20">
        <v>0</v>
      </c>
      <c r="G285" s="20">
        <v>0</v>
      </c>
      <c r="H285" s="21" t="s">
        <v>526</v>
      </c>
      <c r="I285" s="22" t="s">
        <v>23</v>
      </c>
      <c r="J285" s="22">
        <v>97</v>
      </c>
      <c r="K285" s="22">
        <v>98</v>
      </c>
      <c r="L285" s="23">
        <v>100</v>
      </c>
    </row>
    <row r="286" spans="1:12" x14ac:dyDescent="0.25">
      <c r="A286" s="76" t="s">
        <v>527</v>
      </c>
      <c r="B286" s="79" t="s">
        <v>528</v>
      </c>
      <c r="C286" s="79" t="s">
        <v>529</v>
      </c>
      <c r="D286" s="24"/>
      <c r="E286" s="25">
        <f>SUM(E287:E289)</f>
        <v>1470</v>
      </c>
      <c r="F286" s="25">
        <f>SUM(F287:F289)</f>
        <v>1140</v>
      </c>
      <c r="G286" s="25">
        <f>SUM(G287:G289)</f>
        <v>1120</v>
      </c>
      <c r="H286" s="24" t="s">
        <v>530</v>
      </c>
      <c r="I286" s="26" t="s">
        <v>23</v>
      </c>
      <c r="J286" s="26">
        <v>76</v>
      </c>
      <c r="K286" s="26">
        <v>76</v>
      </c>
      <c r="L286" s="27">
        <v>76</v>
      </c>
    </row>
    <row r="287" spans="1:12" ht="30" x14ac:dyDescent="0.25">
      <c r="A287" s="77"/>
      <c r="B287" s="80"/>
      <c r="C287" s="80"/>
      <c r="D287" s="1" t="s">
        <v>29</v>
      </c>
      <c r="E287" s="28">
        <v>330</v>
      </c>
      <c r="F287" s="28">
        <v>0</v>
      </c>
      <c r="G287" s="28">
        <v>0</v>
      </c>
      <c r="H287" s="1" t="s">
        <v>531</v>
      </c>
      <c r="I287" s="2" t="s">
        <v>388</v>
      </c>
      <c r="J287" s="35">
        <v>35000</v>
      </c>
      <c r="K287" s="35">
        <v>34000</v>
      </c>
      <c r="L287" s="36">
        <v>33000</v>
      </c>
    </row>
    <row r="288" spans="1:12" x14ac:dyDescent="0.25">
      <c r="A288" s="77"/>
      <c r="B288" s="80"/>
      <c r="C288" s="80"/>
      <c r="D288" s="1" t="s">
        <v>532</v>
      </c>
      <c r="E288" s="28">
        <v>240</v>
      </c>
      <c r="F288" s="28">
        <v>240</v>
      </c>
      <c r="G288" s="28">
        <v>220</v>
      </c>
      <c r="H288" s="1" t="s">
        <v>533</v>
      </c>
      <c r="I288" s="2" t="s">
        <v>402</v>
      </c>
      <c r="J288" s="2">
        <v>95</v>
      </c>
      <c r="K288" s="2">
        <v>91</v>
      </c>
      <c r="L288" s="29">
        <v>87</v>
      </c>
    </row>
    <row r="289" spans="1:12" ht="30.75" thickBot="1" x14ac:dyDescent="0.3">
      <c r="A289" s="78"/>
      <c r="B289" s="81"/>
      <c r="C289" s="81"/>
      <c r="D289" s="1" t="s">
        <v>44</v>
      </c>
      <c r="E289" s="28">
        <v>900</v>
      </c>
      <c r="F289" s="28">
        <v>900</v>
      </c>
      <c r="G289" s="28">
        <v>900</v>
      </c>
      <c r="H289" s="1" t="s">
        <v>534</v>
      </c>
      <c r="I289" s="2" t="s">
        <v>388</v>
      </c>
      <c r="J289" s="35">
        <v>20000</v>
      </c>
      <c r="K289" s="35">
        <v>20000</v>
      </c>
      <c r="L289" s="36">
        <v>20000</v>
      </c>
    </row>
    <row r="290" spans="1:12" ht="25.5" customHeight="1" x14ac:dyDescent="0.25">
      <c r="A290" s="76" t="s">
        <v>535</v>
      </c>
      <c r="B290" s="79" t="s">
        <v>536</v>
      </c>
      <c r="C290" s="79" t="s">
        <v>537</v>
      </c>
      <c r="D290" s="24"/>
      <c r="E290" s="25">
        <f>SUM(E291:E294)</f>
        <v>18000.099999999999</v>
      </c>
      <c r="F290" s="25">
        <f>SUM(F291:F294)</f>
        <v>15500</v>
      </c>
      <c r="G290" s="25">
        <f>SUM(G291:G294)</f>
        <v>15500</v>
      </c>
      <c r="H290" s="79" t="s">
        <v>538</v>
      </c>
      <c r="I290" s="99" t="s">
        <v>28</v>
      </c>
      <c r="J290" s="99">
        <v>100</v>
      </c>
      <c r="K290" s="99">
        <v>100</v>
      </c>
      <c r="L290" s="111">
        <v>100</v>
      </c>
    </row>
    <row r="291" spans="1:12" x14ac:dyDescent="0.25">
      <c r="A291" s="77"/>
      <c r="B291" s="80"/>
      <c r="C291" s="80"/>
      <c r="D291" s="1" t="s">
        <v>539</v>
      </c>
      <c r="E291" s="28">
        <v>7000</v>
      </c>
      <c r="F291" s="28">
        <v>6400</v>
      </c>
      <c r="G291" s="28">
        <v>6700</v>
      </c>
      <c r="H291" s="80"/>
      <c r="I291" s="100"/>
      <c r="J291" s="100"/>
      <c r="K291" s="100"/>
      <c r="L291" s="110"/>
    </row>
    <row r="292" spans="1:12" x14ac:dyDescent="0.25">
      <c r="A292" s="77"/>
      <c r="B292" s="80"/>
      <c r="C292" s="80"/>
      <c r="D292" s="1" t="s">
        <v>532</v>
      </c>
      <c r="E292" s="28">
        <v>6800</v>
      </c>
      <c r="F292" s="28">
        <v>6800</v>
      </c>
      <c r="G292" s="28">
        <v>6800</v>
      </c>
      <c r="H292" s="80"/>
      <c r="I292" s="100"/>
      <c r="J292" s="100"/>
      <c r="K292" s="100"/>
      <c r="L292" s="110"/>
    </row>
    <row r="293" spans="1:12" x14ac:dyDescent="0.25">
      <c r="A293" s="77"/>
      <c r="B293" s="80"/>
      <c r="C293" s="80"/>
      <c r="D293" s="1" t="s">
        <v>44</v>
      </c>
      <c r="E293" s="28">
        <v>3606.5</v>
      </c>
      <c r="F293" s="28">
        <v>2300</v>
      </c>
      <c r="G293" s="28">
        <v>2000</v>
      </c>
      <c r="H293" s="80"/>
      <c r="I293" s="100"/>
      <c r="J293" s="100"/>
      <c r="K293" s="100"/>
      <c r="L293" s="110"/>
    </row>
    <row r="294" spans="1:12" ht="15.75" thickBot="1" x14ac:dyDescent="0.3">
      <c r="A294" s="78"/>
      <c r="B294" s="81"/>
      <c r="C294" s="81"/>
      <c r="D294" s="1" t="s">
        <v>29</v>
      </c>
      <c r="E294" s="28">
        <v>593.6</v>
      </c>
      <c r="F294" s="28">
        <v>0</v>
      </c>
      <c r="G294" s="28">
        <v>0</v>
      </c>
      <c r="H294" s="81"/>
      <c r="I294" s="101"/>
      <c r="J294" s="101"/>
      <c r="K294" s="101"/>
      <c r="L294" s="109"/>
    </row>
    <row r="295" spans="1:12" ht="25.5" customHeight="1" x14ac:dyDescent="0.25">
      <c r="A295" s="76" t="s">
        <v>540</v>
      </c>
      <c r="B295" s="79" t="s">
        <v>541</v>
      </c>
      <c r="C295" s="79" t="s">
        <v>423</v>
      </c>
      <c r="D295" s="24"/>
      <c r="E295" s="25">
        <f>SUM(E296:E298)</f>
        <v>552</v>
      </c>
      <c r="F295" s="25">
        <f>SUM(F296:F298)</f>
        <v>553</v>
      </c>
      <c r="G295" s="25">
        <f>SUM(G296:G298)</f>
        <v>245</v>
      </c>
      <c r="H295" s="79" t="s">
        <v>542</v>
      </c>
      <c r="I295" s="99" t="s">
        <v>23</v>
      </c>
      <c r="J295" s="99">
        <v>1</v>
      </c>
      <c r="K295" s="99">
        <v>1</v>
      </c>
      <c r="L295" s="111">
        <v>1</v>
      </c>
    </row>
    <row r="296" spans="1:12" x14ac:dyDescent="0.25">
      <c r="A296" s="77"/>
      <c r="B296" s="80"/>
      <c r="C296" s="80"/>
      <c r="D296" s="1" t="s">
        <v>29</v>
      </c>
      <c r="E296" s="28">
        <v>255</v>
      </c>
      <c r="F296" s="28">
        <v>0</v>
      </c>
      <c r="G296" s="28">
        <v>0</v>
      </c>
      <c r="H296" s="80"/>
      <c r="I296" s="100"/>
      <c r="J296" s="100"/>
      <c r="K296" s="100"/>
      <c r="L296" s="110"/>
    </row>
    <row r="297" spans="1:12" x14ac:dyDescent="0.25">
      <c r="A297" s="77"/>
      <c r="B297" s="80"/>
      <c r="C297" s="80"/>
      <c r="D297" s="1" t="s">
        <v>44</v>
      </c>
      <c r="E297" s="28">
        <v>150</v>
      </c>
      <c r="F297" s="28">
        <v>250</v>
      </c>
      <c r="G297" s="28">
        <v>100</v>
      </c>
      <c r="H297" s="80"/>
      <c r="I297" s="100"/>
      <c r="J297" s="100"/>
      <c r="K297" s="100"/>
      <c r="L297" s="110"/>
    </row>
    <row r="298" spans="1:12" ht="15.75" thickBot="1" x14ac:dyDescent="0.3">
      <c r="A298" s="78"/>
      <c r="B298" s="81"/>
      <c r="C298" s="81"/>
      <c r="D298" s="1" t="s">
        <v>33</v>
      </c>
      <c r="E298" s="28">
        <v>147</v>
      </c>
      <c r="F298" s="28">
        <v>303</v>
      </c>
      <c r="G298" s="28">
        <v>145</v>
      </c>
      <c r="H298" s="81"/>
      <c r="I298" s="101"/>
      <c r="J298" s="101"/>
      <c r="K298" s="101"/>
      <c r="L298" s="109"/>
    </row>
    <row r="299" spans="1:12" x14ac:dyDescent="0.25">
      <c r="A299" s="76" t="s">
        <v>543</v>
      </c>
      <c r="B299" s="79" t="s">
        <v>544</v>
      </c>
      <c r="C299" s="79" t="s">
        <v>423</v>
      </c>
      <c r="D299" s="24"/>
      <c r="E299" s="25">
        <f>SUM(E300:E302)</f>
        <v>5044.1000000000004</v>
      </c>
      <c r="F299" s="25">
        <f>SUM(F300:F302)</f>
        <v>6000.1</v>
      </c>
      <c r="G299" s="25">
        <f>SUM(G300:G302)</f>
        <v>7000.1</v>
      </c>
      <c r="H299" s="24" t="s">
        <v>545</v>
      </c>
      <c r="I299" s="26" t="s">
        <v>402</v>
      </c>
      <c r="J299" s="26">
        <v>6</v>
      </c>
      <c r="K299" s="26">
        <v>7</v>
      </c>
      <c r="L299" s="27">
        <v>8</v>
      </c>
    </row>
    <row r="300" spans="1:12" ht="30" x14ac:dyDescent="0.25">
      <c r="A300" s="77"/>
      <c r="B300" s="80"/>
      <c r="C300" s="80"/>
      <c r="D300" s="1" t="s">
        <v>29</v>
      </c>
      <c r="E300" s="28">
        <v>1594.1</v>
      </c>
      <c r="F300" s="28">
        <v>0</v>
      </c>
      <c r="G300" s="28">
        <v>0</v>
      </c>
      <c r="H300" s="1" t="s">
        <v>546</v>
      </c>
      <c r="I300" s="2" t="s">
        <v>402</v>
      </c>
      <c r="J300" s="2">
        <v>5.8</v>
      </c>
      <c r="K300" s="2">
        <v>7</v>
      </c>
      <c r="L300" s="29">
        <v>8</v>
      </c>
    </row>
    <row r="301" spans="1:12" ht="30" x14ac:dyDescent="0.25">
      <c r="A301" s="77"/>
      <c r="B301" s="80"/>
      <c r="C301" s="80"/>
      <c r="D301" s="1" t="s">
        <v>33</v>
      </c>
      <c r="E301" s="28">
        <v>2792.5</v>
      </c>
      <c r="F301" s="28">
        <v>5078.8</v>
      </c>
      <c r="G301" s="28">
        <v>5828.8</v>
      </c>
      <c r="H301" s="1" t="s">
        <v>547</v>
      </c>
      <c r="I301" s="2" t="s">
        <v>28</v>
      </c>
      <c r="J301" s="2">
        <v>2</v>
      </c>
      <c r="K301" s="2">
        <v>45</v>
      </c>
      <c r="L301" s="29">
        <v>100</v>
      </c>
    </row>
    <row r="302" spans="1:12" ht="15.75" thickBot="1" x14ac:dyDescent="0.3">
      <c r="A302" s="78"/>
      <c r="B302" s="81"/>
      <c r="C302" s="81"/>
      <c r="D302" s="1" t="s">
        <v>44</v>
      </c>
      <c r="E302" s="28">
        <v>657.5</v>
      </c>
      <c r="F302" s="28">
        <v>921.3</v>
      </c>
      <c r="G302" s="28">
        <v>1171.3</v>
      </c>
      <c r="H302" s="1" t="s">
        <v>548</v>
      </c>
      <c r="I302" s="2" t="s">
        <v>23</v>
      </c>
      <c r="J302" s="2"/>
      <c r="K302" s="2"/>
      <c r="L302" s="29">
        <v>3</v>
      </c>
    </row>
    <row r="303" spans="1:12" x14ac:dyDescent="0.25">
      <c r="A303" s="76" t="s">
        <v>549</v>
      </c>
      <c r="B303" s="79" t="s">
        <v>550</v>
      </c>
      <c r="C303" s="79" t="s">
        <v>551</v>
      </c>
      <c r="D303" s="24"/>
      <c r="E303" s="25">
        <f>SUM(E304:E305)</f>
        <v>7030.4</v>
      </c>
      <c r="F303" s="25">
        <f>SUM(F304:F305)</f>
        <v>7122.7</v>
      </c>
      <c r="G303" s="25">
        <f>SUM(G304:G305)</f>
        <v>7184.4</v>
      </c>
      <c r="H303" s="79" t="s">
        <v>552</v>
      </c>
      <c r="I303" s="99" t="s">
        <v>28</v>
      </c>
      <c r="J303" s="99">
        <v>100</v>
      </c>
      <c r="K303" s="99">
        <v>100</v>
      </c>
      <c r="L303" s="111">
        <v>100</v>
      </c>
    </row>
    <row r="304" spans="1:12" x14ac:dyDescent="0.25">
      <c r="A304" s="77"/>
      <c r="B304" s="80"/>
      <c r="C304" s="80"/>
      <c r="D304" s="1" t="s">
        <v>44</v>
      </c>
      <c r="E304" s="28">
        <v>1790.1</v>
      </c>
      <c r="F304" s="28">
        <v>1654</v>
      </c>
      <c r="G304" s="28">
        <v>1423.6</v>
      </c>
      <c r="H304" s="80"/>
      <c r="I304" s="100"/>
      <c r="J304" s="100"/>
      <c r="K304" s="100"/>
      <c r="L304" s="110"/>
    </row>
    <row r="305" spans="1:12" ht="15.75" thickBot="1" x14ac:dyDescent="0.3">
      <c r="A305" s="78"/>
      <c r="B305" s="81"/>
      <c r="C305" s="81"/>
      <c r="D305" s="1" t="s">
        <v>29</v>
      </c>
      <c r="E305" s="28">
        <v>5240.3</v>
      </c>
      <c r="F305" s="28">
        <v>5468.7</v>
      </c>
      <c r="G305" s="28">
        <v>5760.8</v>
      </c>
      <c r="H305" s="81"/>
      <c r="I305" s="101"/>
      <c r="J305" s="101"/>
      <c r="K305" s="101"/>
      <c r="L305" s="109"/>
    </row>
    <row r="306" spans="1:12" x14ac:dyDescent="0.25">
      <c r="A306" s="76" t="s">
        <v>553</v>
      </c>
      <c r="B306" s="79" t="s">
        <v>554</v>
      </c>
      <c r="C306" s="79" t="s">
        <v>555</v>
      </c>
      <c r="D306" s="24"/>
      <c r="E306" s="25">
        <f>SUM(E307:E311)</f>
        <v>403.4</v>
      </c>
      <c r="F306" s="25">
        <f>SUM(F307:F311)</f>
        <v>3840.3</v>
      </c>
      <c r="G306" s="25">
        <f>SUM(G307:G311)</f>
        <v>90</v>
      </c>
      <c r="H306" s="24" t="s">
        <v>556</v>
      </c>
      <c r="I306" s="26" t="s">
        <v>23</v>
      </c>
      <c r="J306" s="26">
        <v>10</v>
      </c>
      <c r="K306" s="26">
        <v>1</v>
      </c>
      <c r="L306" s="27">
        <v>1</v>
      </c>
    </row>
    <row r="307" spans="1:12" ht="30" x14ac:dyDescent="0.25">
      <c r="A307" s="77"/>
      <c r="B307" s="80"/>
      <c r="C307" s="80"/>
      <c r="D307" s="1" t="s">
        <v>44</v>
      </c>
      <c r="E307" s="28">
        <v>0</v>
      </c>
      <c r="F307" s="28">
        <v>90</v>
      </c>
      <c r="G307" s="28">
        <v>90</v>
      </c>
      <c r="H307" s="1" t="s">
        <v>557</v>
      </c>
      <c r="I307" s="2" t="s">
        <v>23</v>
      </c>
      <c r="J307" s="2">
        <v>30</v>
      </c>
      <c r="K307" s="2">
        <v>20</v>
      </c>
      <c r="L307" s="29">
        <v>20</v>
      </c>
    </row>
    <row r="308" spans="1:12" ht="30" x14ac:dyDescent="0.25">
      <c r="A308" s="77"/>
      <c r="B308" s="80"/>
      <c r="C308" s="80"/>
      <c r="D308" s="1" t="s">
        <v>29</v>
      </c>
      <c r="E308" s="28">
        <v>90</v>
      </c>
      <c r="F308" s="28">
        <v>0</v>
      </c>
      <c r="G308" s="28">
        <v>0</v>
      </c>
      <c r="H308" s="1" t="s">
        <v>558</v>
      </c>
      <c r="I308" s="2" t="s">
        <v>23</v>
      </c>
      <c r="J308" s="2">
        <v>0</v>
      </c>
      <c r="K308" s="2">
        <v>0</v>
      </c>
      <c r="L308" s="29">
        <v>5</v>
      </c>
    </row>
    <row r="309" spans="1:12" x14ac:dyDescent="0.25">
      <c r="A309" s="77"/>
      <c r="B309" s="80"/>
      <c r="C309" s="80"/>
      <c r="D309" s="1" t="s">
        <v>33</v>
      </c>
      <c r="E309" s="28">
        <v>313.39999999999998</v>
      </c>
      <c r="F309" s="28">
        <v>3108.1</v>
      </c>
      <c r="G309" s="28">
        <v>0</v>
      </c>
      <c r="H309" s="1" t="s">
        <v>559</v>
      </c>
      <c r="I309" s="2" t="s">
        <v>23</v>
      </c>
      <c r="J309" s="2">
        <v>0</v>
      </c>
      <c r="K309" s="2">
        <v>0</v>
      </c>
      <c r="L309" s="29">
        <v>0</v>
      </c>
    </row>
    <row r="310" spans="1:12" x14ac:dyDescent="0.25">
      <c r="A310" s="77"/>
      <c r="B310" s="80"/>
      <c r="C310" s="80"/>
      <c r="D310" s="1" t="s">
        <v>31</v>
      </c>
      <c r="E310" s="28">
        <v>0</v>
      </c>
      <c r="F310" s="28">
        <v>642.20000000000005</v>
      </c>
      <c r="G310" s="28">
        <v>0</v>
      </c>
      <c r="H310" s="1" t="s">
        <v>560</v>
      </c>
      <c r="I310" s="2" t="s">
        <v>23</v>
      </c>
      <c r="J310" s="2">
        <v>1</v>
      </c>
      <c r="K310" s="2"/>
      <c r="L310" s="29"/>
    </row>
    <row r="311" spans="1:12" ht="15.75" thickBot="1" x14ac:dyDescent="0.3">
      <c r="A311" s="78"/>
      <c r="B311" s="81"/>
      <c r="C311" s="81"/>
      <c r="D311" s="1"/>
      <c r="E311" s="28">
        <v>0</v>
      </c>
      <c r="F311" s="28">
        <v>0</v>
      </c>
      <c r="G311" s="28">
        <v>0</v>
      </c>
      <c r="H311" s="1" t="s">
        <v>561</v>
      </c>
      <c r="I311" s="2" t="s">
        <v>23</v>
      </c>
      <c r="J311" s="2"/>
      <c r="K311" s="2">
        <v>1</v>
      </c>
      <c r="L311" s="29"/>
    </row>
    <row r="312" spans="1:12" x14ac:dyDescent="0.25">
      <c r="A312" s="76" t="s">
        <v>562</v>
      </c>
      <c r="B312" s="79" t="s">
        <v>563</v>
      </c>
      <c r="C312" s="79" t="s">
        <v>190</v>
      </c>
      <c r="D312" s="24"/>
      <c r="E312" s="25">
        <f>SUM(E313:E316)</f>
        <v>3020</v>
      </c>
      <c r="F312" s="25">
        <f>SUM(F313:F316)</f>
        <v>3080</v>
      </c>
      <c r="G312" s="25">
        <f>SUM(G313:G316)</f>
        <v>3000</v>
      </c>
      <c r="H312" s="24" t="s">
        <v>564</v>
      </c>
      <c r="I312" s="26" t="s">
        <v>23</v>
      </c>
      <c r="J312" s="26">
        <v>13</v>
      </c>
      <c r="K312" s="26">
        <v>8</v>
      </c>
      <c r="L312" s="27">
        <v>8</v>
      </c>
    </row>
    <row r="313" spans="1:12" x14ac:dyDescent="0.25">
      <c r="A313" s="77"/>
      <c r="B313" s="80"/>
      <c r="C313" s="80"/>
      <c r="D313" s="1" t="s">
        <v>539</v>
      </c>
      <c r="E313" s="28">
        <v>535</v>
      </c>
      <c r="F313" s="28">
        <v>1000</v>
      </c>
      <c r="G313" s="28">
        <v>1000</v>
      </c>
      <c r="H313" s="1" t="s">
        <v>565</v>
      </c>
      <c r="I313" s="2" t="s">
        <v>402</v>
      </c>
      <c r="J313" s="2">
        <v>4</v>
      </c>
      <c r="K313" s="2">
        <v>3</v>
      </c>
      <c r="L313" s="29">
        <v>3</v>
      </c>
    </row>
    <row r="314" spans="1:12" x14ac:dyDescent="0.25">
      <c r="A314" s="77"/>
      <c r="B314" s="80"/>
      <c r="C314" s="80"/>
      <c r="D314" s="1" t="s">
        <v>44</v>
      </c>
      <c r="E314" s="28">
        <v>965</v>
      </c>
      <c r="F314" s="28">
        <v>580</v>
      </c>
      <c r="G314" s="28">
        <v>500</v>
      </c>
      <c r="H314" s="1" t="s">
        <v>566</v>
      </c>
      <c r="I314" s="2" t="s">
        <v>402</v>
      </c>
      <c r="J314" s="2">
        <v>0</v>
      </c>
      <c r="K314" s="2">
        <v>0.5</v>
      </c>
      <c r="L314" s="29">
        <v>0.5</v>
      </c>
    </row>
    <row r="315" spans="1:12" ht="25.5" customHeight="1" x14ac:dyDescent="0.25">
      <c r="A315" s="77"/>
      <c r="B315" s="80"/>
      <c r="C315" s="80"/>
      <c r="D315" s="1" t="s">
        <v>532</v>
      </c>
      <c r="E315" s="28">
        <v>1500</v>
      </c>
      <c r="F315" s="28">
        <v>1500</v>
      </c>
      <c r="G315" s="28">
        <v>1500</v>
      </c>
      <c r="H315" s="106" t="s">
        <v>567</v>
      </c>
      <c r="I315" s="107" t="s">
        <v>28</v>
      </c>
      <c r="J315" s="107">
        <v>10</v>
      </c>
      <c r="K315" s="107">
        <v>90</v>
      </c>
      <c r="L315" s="108">
        <v>0</v>
      </c>
    </row>
    <row r="316" spans="1:12" ht="15.75" thickBot="1" x14ac:dyDescent="0.3">
      <c r="A316" s="78"/>
      <c r="B316" s="81"/>
      <c r="C316" s="81"/>
      <c r="D316" s="1" t="s">
        <v>29</v>
      </c>
      <c r="E316" s="28">
        <v>20</v>
      </c>
      <c r="F316" s="28"/>
      <c r="G316" s="28"/>
      <c r="H316" s="81"/>
      <c r="I316" s="101"/>
      <c r="J316" s="101"/>
      <c r="K316" s="101"/>
      <c r="L316" s="109"/>
    </row>
    <row r="317" spans="1:12" ht="25.5" customHeight="1" x14ac:dyDescent="0.25">
      <c r="A317" s="76" t="s">
        <v>568</v>
      </c>
      <c r="B317" s="79" t="s">
        <v>569</v>
      </c>
      <c r="C317" s="79" t="s">
        <v>190</v>
      </c>
      <c r="D317" s="24"/>
      <c r="E317" s="25">
        <f>SUM(E318:E319)</f>
        <v>0</v>
      </c>
      <c r="F317" s="25">
        <f>SUM(F318:F319)</f>
        <v>12275.4</v>
      </c>
      <c r="G317" s="25">
        <f>SUM(G318:G319)</f>
        <v>7724.6</v>
      </c>
      <c r="H317" s="79" t="s">
        <v>570</v>
      </c>
      <c r="I317" s="99" t="s">
        <v>28</v>
      </c>
      <c r="J317" s="99">
        <v>0</v>
      </c>
      <c r="K317" s="99">
        <v>70</v>
      </c>
      <c r="L317" s="111">
        <v>30</v>
      </c>
    </row>
    <row r="318" spans="1:12" x14ac:dyDescent="0.25">
      <c r="A318" s="77"/>
      <c r="B318" s="80"/>
      <c r="C318" s="80"/>
      <c r="D318" s="1" t="s">
        <v>539</v>
      </c>
      <c r="E318" s="28">
        <v>0</v>
      </c>
      <c r="F318" s="28">
        <v>4000</v>
      </c>
      <c r="G318" s="28">
        <v>0</v>
      </c>
      <c r="H318" s="80"/>
      <c r="I318" s="100"/>
      <c r="J318" s="100"/>
      <c r="K318" s="100"/>
      <c r="L318" s="110"/>
    </row>
    <row r="319" spans="1:12" ht="15.75" thickBot="1" x14ac:dyDescent="0.3">
      <c r="A319" s="78"/>
      <c r="B319" s="81"/>
      <c r="C319" s="81"/>
      <c r="D319" s="1" t="s">
        <v>44</v>
      </c>
      <c r="E319" s="28">
        <v>0</v>
      </c>
      <c r="F319" s="28">
        <v>8275.4</v>
      </c>
      <c r="G319" s="28">
        <v>7724.6</v>
      </c>
      <c r="H319" s="81"/>
      <c r="I319" s="101"/>
      <c r="J319" s="101"/>
      <c r="K319" s="101"/>
      <c r="L319" s="109"/>
    </row>
    <row r="320" spans="1:12" x14ac:dyDescent="0.25">
      <c r="A320" s="76" t="s">
        <v>571</v>
      </c>
      <c r="B320" s="79" t="s">
        <v>572</v>
      </c>
      <c r="C320" s="79" t="s">
        <v>573</v>
      </c>
      <c r="D320" s="24"/>
      <c r="E320" s="25">
        <f>SUM(E321:E330)</f>
        <v>2922.3</v>
      </c>
      <c r="F320" s="25">
        <f>SUM(F321:F330)</f>
        <v>2931</v>
      </c>
      <c r="G320" s="25">
        <f>SUM(G321:G330)</f>
        <v>2963</v>
      </c>
      <c r="H320" s="24" t="s">
        <v>574</v>
      </c>
      <c r="I320" s="26" t="s">
        <v>23</v>
      </c>
      <c r="J320" s="26">
        <v>121</v>
      </c>
      <c r="K320" s="26">
        <v>122</v>
      </c>
      <c r="L320" s="27">
        <v>123</v>
      </c>
    </row>
    <row r="321" spans="1:12" x14ac:dyDescent="0.25">
      <c r="A321" s="77"/>
      <c r="B321" s="80"/>
      <c r="C321" s="80"/>
      <c r="D321" s="1" t="s">
        <v>29</v>
      </c>
      <c r="E321" s="28">
        <v>16.3</v>
      </c>
      <c r="F321" s="28">
        <v>0</v>
      </c>
      <c r="G321" s="28">
        <v>0</v>
      </c>
      <c r="H321" s="1" t="s">
        <v>575</v>
      </c>
      <c r="I321" s="2" t="s">
        <v>23</v>
      </c>
      <c r="J321" s="2">
        <v>12</v>
      </c>
      <c r="K321" s="2">
        <v>14</v>
      </c>
      <c r="L321" s="29">
        <v>16</v>
      </c>
    </row>
    <row r="322" spans="1:12" ht="30" x14ac:dyDescent="0.25">
      <c r="A322" s="77"/>
      <c r="B322" s="80"/>
      <c r="C322" s="80"/>
      <c r="D322" s="1" t="s">
        <v>44</v>
      </c>
      <c r="E322" s="28">
        <v>2783</v>
      </c>
      <c r="F322" s="28">
        <v>2798</v>
      </c>
      <c r="G322" s="28">
        <v>2819</v>
      </c>
      <c r="H322" s="1" t="s">
        <v>576</v>
      </c>
      <c r="I322" s="2" t="s">
        <v>23</v>
      </c>
      <c r="J322" s="2">
        <v>0</v>
      </c>
      <c r="K322" s="2">
        <v>0</v>
      </c>
      <c r="L322" s="29">
        <v>0</v>
      </c>
    </row>
    <row r="323" spans="1:12" x14ac:dyDescent="0.25">
      <c r="A323" s="77"/>
      <c r="B323" s="80"/>
      <c r="C323" s="80"/>
      <c r="D323" s="1" t="s">
        <v>532</v>
      </c>
      <c r="E323" s="28">
        <v>123</v>
      </c>
      <c r="F323" s="28">
        <v>133</v>
      </c>
      <c r="G323" s="28">
        <v>144</v>
      </c>
      <c r="H323" s="1" t="s">
        <v>577</v>
      </c>
      <c r="I323" s="2" t="s">
        <v>23</v>
      </c>
      <c r="J323" s="2">
        <v>7</v>
      </c>
      <c r="K323" s="2">
        <v>8</v>
      </c>
      <c r="L323" s="29">
        <v>7</v>
      </c>
    </row>
    <row r="324" spans="1:12" ht="30" x14ac:dyDescent="0.25">
      <c r="A324" s="77"/>
      <c r="B324" s="80"/>
      <c r="C324" s="80"/>
      <c r="D324" s="1"/>
      <c r="E324" s="28">
        <v>0</v>
      </c>
      <c r="F324" s="28">
        <v>0</v>
      </c>
      <c r="G324" s="28">
        <v>0</v>
      </c>
      <c r="H324" s="1" t="s">
        <v>578</v>
      </c>
      <c r="I324" s="2" t="s">
        <v>23</v>
      </c>
      <c r="J324" s="35">
        <v>1000</v>
      </c>
      <c r="K324" s="35">
        <v>1000</v>
      </c>
      <c r="L324" s="36">
        <v>1000</v>
      </c>
    </row>
    <row r="325" spans="1:12" ht="30" x14ac:dyDescent="0.25">
      <c r="A325" s="77"/>
      <c r="B325" s="80"/>
      <c r="C325" s="80"/>
      <c r="D325" s="1"/>
      <c r="E325" s="28">
        <v>0</v>
      </c>
      <c r="F325" s="28">
        <v>0</v>
      </c>
      <c r="G325" s="28">
        <v>0</v>
      </c>
      <c r="H325" s="1" t="s">
        <v>579</v>
      </c>
      <c r="I325" s="2" t="s">
        <v>23</v>
      </c>
      <c r="J325" s="35">
        <v>15770</v>
      </c>
      <c r="K325" s="35">
        <v>15890</v>
      </c>
      <c r="L325" s="36">
        <v>16000</v>
      </c>
    </row>
    <row r="326" spans="1:12" x14ac:dyDescent="0.25">
      <c r="A326" s="77"/>
      <c r="B326" s="80"/>
      <c r="C326" s="80"/>
      <c r="D326" s="1"/>
      <c r="E326" s="28">
        <v>0</v>
      </c>
      <c r="F326" s="28">
        <v>0</v>
      </c>
      <c r="G326" s="28">
        <v>0</v>
      </c>
      <c r="H326" s="1" t="s">
        <v>580</v>
      </c>
      <c r="I326" s="2" t="s">
        <v>23</v>
      </c>
      <c r="J326" s="2">
        <v>50</v>
      </c>
      <c r="K326" s="2">
        <v>51</v>
      </c>
      <c r="L326" s="29">
        <v>51</v>
      </c>
    </row>
    <row r="327" spans="1:12" x14ac:dyDescent="0.25">
      <c r="A327" s="77"/>
      <c r="B327" s="80"/>
      <c r="C327" s="80"/>
      <c r="D327" s="1"/>
      <c r="E327" s="28">
        <v>0</v>
      </c>
      <c r="F327" s="28">
        <v>0</v>
      </c>
      <c r="G327" s="28">
        <v>0</v>
      </c>
      <c r="H327" s="1" t="s">
        <v>581</v>
      </c>
      <c r="I327" s="2" t="s">
        <v>23</v>
      </c>
      <c r="J327" s="35">
        <v>12350</v>
      </c>
      <c r="K327" s="35">
        <v>12900</v>
      </c>
      <c r="L327" s="36">
        <v>13700</v>
      </c>
    </row>
    <row r="328" spans="1:12" ht="30" x14ac:dyDescent="0.25">
      <c r="A328" s="77"/>
      <c r="B328" s="80"/>
      <c r="C328" s="80"/>
      <c r="D328" s="1"/>
      <c r="E328" s="28">
        <v>0</v>
      </c>
      <c r="F328" s="28">
        <v>0</v>
      </c>
      <c r="G328" s="28">
        <v>0</v>
      </c>
      <c r="H328" s="1" t="s">
        <v>582</v>
      </c>
      <c r="I328" s="2" t="s">
        <v>583</v>
      </c>
      <c r="J328" s="35">
        <v>2500000</v>
      </c>
      <c r="K328" s="35">
        <v>2600000</v>
      </c>
      <c r="L328" s="36">
        <v>2600000</v>
      </c>
    </row>
    <row r="329" spans="1:12" ht="45" x14ac:dyDescent="0.25">
      <c r="A329" s="77"/>
      <c r="B329" s="80"/>
      <c r="C329" s="80"/>
      <c r="D329" s="1"/>
      <c r="E329" s="28">
        <v>0</v>
      </c>
      <c r="F329" s="28">
        <v>0</v>
      </c>
      <c r="G329" s="28">
        <v>0</v>
      </c>
      <c r="H329" s="1" t="s">
        <v>584</v>
      </c>
      <c r="I329" s="2" t="s">
        <v>23</v>
      </c>
      <c r="J329" s="2">
        <v>11</v>
      </c>
      <c r="K329" s="2">
        <v>11</v>
      </c>
      <c r="L329" s="29">
        <v>12</v>
      </c>
    </row>
    <row r="330" spans="1:12" ht="39.75" customHeight="1" thickBot="1" x14ac:dyDescent="0.3">
      <c r="A330" s="78"/>
      <c r="B330" s="81"/>
      <c r="C330" s="81"/>
      <c r="D330" s="1"/>
      <c r="E330" s="28">
        <v>0</v>
      </c>
      <c r="F330" s="28">
        <v>0</v>
      </c>
      <c r="G330" s="28">
        <v>0</v>
      </c>
      <c r="H330" s="1" t="s">
        <v>585</v>
      </c>
      <c r="I330" s="2" t="s">
        <v>23</v>
      </c>
      <c r="J330" s="2">
        <v>0</v>
      </c>
      <c r="K330" s="2">
        <v>1</v>
      </c>
      <c r="L330" s="29">
        <v>0</v>
      </c>
    </row>
    <row r="331" spans="1:12" ht="30.75" hidden="1" thickBot="1" x14ac:dyDescent="0.3">
      <c r="A331" s="30" t="s">
        <v>586</v>
      </c>
      <c r="B331" s="31" t="s">
        <v>587</v>
      </c>
      <c r="C331" s="24" t="s">
        <v>190</v>
      </c>
      <c r="D331" s="24"/>
      <c r="E331" s="32">
        <v>0</v>
      </c>
      <c r="F331" s="32">
        <v>0</v>
      </c>
      <c r="G331" s="32">
        <v>0</v>
      </c>
      <c r="H331" s="24" t="s">
        <v>588</v>
      </c>
      <c r="I331" s="26" t="s">
        <v>23</v>
      </c>
      <c r="J331" s="26">
        <v>11</v>
      </c>
      <c r="K331" s="26">
        <v>5</v>
      </c>
      <c r="L331" s="27">
        <v>6</v>
      </c>
    </row>
    <row r="332" spans="1:12" ht="30" x14ac:dyDescent="0.25">
      <c r="A332" s="68" t="s">
        <v>589</v>
      </c>
      <c r="B332" s="70" t="s">
        <v>590</v>
      </c>
      <c r="C332" s="71"/>
      <c r="D332" s="72"/>
      <c r="E332" s="15">
        <f>E333+E334+E338+E342+E344+E345+E346+E347+E348+E352+E356+E359</f>
        <v>14457.899999999998</v>
      </c>
      <c r="F332" s="15">
        <f>F333+F334+F338+F342+F344+F345+F346+F347+F348+F352+F356+F359</f>
        <v>7318.6</v>
      </c>
      <c r="G332" s="15">
        <f>G333+G334+G338+G342+G344+G345+G346+G347+G348+G352+G356+G359</f>
        <v>7787</v>
      </c>
      <c r="H332" s="16" t="s">
        <v>591</v>
      </c>
      <c r="I332" s="17" t="s">
        <v>28</v>
      </c>
      <c r="J332" s="17">
        <v>7</v>
      </c>
      <c r="K332" s="17">
        <v>8</v>
      </c>
      <c r="L332" s="34">
        <v>9</v>
      </c>
    </row>
    <row r="333" spans="1:12" ht="30.75" thickBot="1" x14ac:dyDescent="0.3">
      <c r="A333" s="69"/>
      <c r="B333" s="73"/>
      <c r="C333" s="74"/>
      <c r="D333" s="75"/>
      <c r="E333" s="20">
        <v>0</v>
      </c>
      <c r="F333" s="20">
        <v>0</v>
      </c>
      <c r="G333" s="20">
        <v>0</v>
      </c>
      <c r="H333" s="21" t="s">
        <v>592</v>
      </c>
      <c r="I333" s="22" t="s">
        <v>388</v>
      </c>
      <c r="J333" s="22">
        <v>1.3</v>
      </c>
      <c r="K333" s="22">
        <v>1.3</v>
      </c>
      <c r="L333" s="23">
        <v>1.3</v>
      </c>
    </row>
    <row r="334" spans="1:12" ht="63.75" customHeight="1" x14ac:dyDescent="0.25">
      <c r="A334" s="76" t="s">
        <v>593</v>
      </c>
      <c r="B334" s="79" t="s">
        <v>594</v>
      </c>
      <c r="C334" s="79" t="s">
        <v>529</v>
      </c>
      <c r="D334" s="24"/>
      <c r="E334" s="25">
        <f>SUM(E335:E337)</f>
        <v>4862</v>
      </c>
      <c r="F334" s="25">
        <f>SUM(F335:F337)</f>
        <v>3526.6</v>
      </c>
      <c r="G334" s="25">
        <f>SUM(G335:G337)</f>
        <v>4501.8</v>
      </c>
      <c r="H334" s="79" t="s">
        <v>595</v>
      </c>
      <c r="I334" s="99" t="s">
        <v>28</v>
      </c>
      <c r="J334" s="99">
        <v>100</v>
      </c>
      <c r="K334" s="99">
        <v>100</v>
      </c>
      <c r="L334" s="111">
        <v>100</v>
      </c>
    </row>
    <row r="335" spans="1:12" x14ac:dyDescent="0.25">
      <c r="A335" s="77"/>
      <c r="B335" s="80"/>
      <c r="C335" s="80"/>
      <c r="D335" s="1" t="s">
        <v>44</v>
      </c>
      <c r="E335" s="28">
        <v>3499.1</v>
      </c>
      <c r="F335" s="28">
        <v>485.6</v>
      </c>
      <c r="G335" s="28">
        <v>4000.4</v>
      </c>
      <c r="H335" s="80"/>
      <c r="I335" s="100"/>
      <c r="J335" s="100"/>
      <c r="K335" s="100"/>
      <c r="L335" s="110"/>
    </row>
    <row r="336" spans="1:12" x14ac:dyDescent="0.25">
      <c r="A336" s="77"/>
      <c r="B336" s="80"/>
      <c r="C336" s="80"/>
      <c r="D336" s="1" t="s">
        <v>29</v>
      </c>
      <c r="E336" s="28">
        <v>996.9</v>
      </c>
      <c r="F336" s="28">
        <v>3041</v>
      </c>
      <c r="G336" s="28">
        <v>501.4</v>
      </c>
      <c r="H336" s="80"/>
      <c r="I336" s="100"/>
      <c r="J336" s="100"/>
      <c r="K336" s="100"/>
      <c r="L336" s="110"/>
    </row>
    <row r="337" spans="1:12" ht="15.75" thickBot="1" x14ac:dyDescent="0.3">
      <c r="A337" s="78"/>
      <c r="B337" s="81"/>
      <c r="C337" s="81"/>
      <c r="D337" s="1" t="s">
        <v>403</v>
      </c>
      <c r="E337" s="28">
        <v>366</v>
      </c>
      <c r="F337" s="28">
        <v>0</v>
      </c>
      <c r="G337" s="28">
        <v>0</v>
      </c>
      <c r="H337" s="81"/>
      <c r="I337" s="101"/>
      <c r="J337" s="101"/>
      <c r="K337" s="101"/>
      <c r="L337" s="109"/>
    </row>
    <row r="338" spans="1:12" ht="45" x14ac:dyDescent="0.25">
      <c r="A338" s="76" t="s">
        <v>596</v>
      </c>
      <c r="B338" s="79" t="s">
        <v>597</v>
      </c>
      <c r="C338" s="79" t="s">
        <v>190</v>
      </c>
      <c r="D338" s="24" t="s">
        <v>44</v>
      </c>
      <c r="E338" s="25">
        <f>SUM(E339:E341)+837</f>
        <v>837</v>
      </c>
      <c r="F338" s="25">
        <f>SUM(F339:F341)+850</f>
        <v>850</v>
      </c>
      <c r="G338" s="25">
        <f>SUM(G339:G341)+850</f>
        <v>850</v>
      </c>
      <c r="H338" s="24" t="s">
        <v>598</v>
      </c>
      <c r="I338" s="26" t="s">
        <v>28</v>
      </c>
      <c r="J338" s="26">
        <v>100</v>
      </c>
      <c r="K338" s="26">
        <v>100</v>
      </c>
      <c r="L338" s="27">
        <v>100</v>
      </c>
    </row>
    <row r="339" spans="1:12" x14ac:dyDescent="0.25">
      <c r="A339" s="77"/>
      <c r="B339" s="80"/>
      <c r="C339" s="80"/>
      <c r="D339" s="1"/>
      <c r="E339" s="28">
        <v>0</v>
      </c>
      <c r="F339" s="28">
        <v>0</v>
      </c>
      <c r="G339" s="28">
        <v>0</v>
      </c>
      <c r="H339" s="1" t="s">
        <v>599</v>
      </c>
      <c r="I339" s="2" t="s">
        <v>382</v>
      </c>
      <c r="J339" s="2">
        <v>307</v>
      </c>
      <c r="K339" s="2">
        <v>0</v>
      </c>
      <c r="L339" s="29">
        <v>0</v>
      </c>
    </row>
    <row r="340" spans="1:12" x14ac:dyDescent="0.25">
      <c r="A340" s="77"/>
      <c r="B340" s="80"/>
      <c r="C340" s="80"/>
      <c r="D340" s="1"/>
      <c r="E340" s="28">
        <v>0</v>
      </c>
      <c r="F340" s="28">
        <v>0</v>
      </c>
      <c r="G340" s="28">
        <v>0</v>
      </c>
      <c r="H340" s="1" t="s">
        <v>600</v>
      </c>
      <c r="I340" s="2" t="s">
        <v>104</v>
      </c>
      <c r="J340" s="2">
        <v>15</v>
      </c>
      <c r="K340" s="2">
        <v>15</v>
      </c>
      <c r="L340" s="29">
        <v>15</v>
      </c>
    </row>
    <row r="341" spans="1:12" ht="15.75" thickBot="1" x14ac:dyDescent="0.3">
      <c r="A341" s="78"/>
      <c r="B341" s="81"/>
      <c r="C341" s="81"/>
      <c r="D341" s="1"/>
      <c r="E341" s="28">
        <v>0</v>
      </c>
      <c r="F341" s="28">
        <v>0</v>
      </c>
      <c r="G341" s="28">
        <v>0</v>
      </c>
      <c r="H341" s="1" t="s">
        <v>601</v>
      </c>
      <c r="I341" s="2" t="s">
        <v>23</v>
      </c>
      <c r="J341" s="2">
        <v>220</v>
      </c>
      <c r="K341" s="2">
        <v>220</v>
      </c>
      <c r="L341" s="29">
        <v>220</v>
      </c>
    </row>
    <row r="342" spans="1:12" ht="30" x14ac:dyDescent="0.25">
      <c r="A342" s="76" t="s">
        <v>602</v>
      </c>
      <c r="B342" s="79" t="s">
        <v>603</v>
      </c>
      <c r="C342" s="79" t="s">
        <v>604</v>
      </c>
      <c r="D342" s="24" t="s">
        <v>29</v>
      </c>
      <c r="E342" s="25">
        <f>SUM(E343:E343)+29.7</f>
        <v>29.7</v>
      </c>
      <c r="F342" s="25">
        <f>SUM(F343:F343)</f>
        <v>0</v>
      </c>
      <c r="G342" s="25">
        <f>SUM(G343:G343)</f>
        <v>0</v>
      </c>
      <c r="H342" s="24" t="s">
        <v>605</v>
      </c>
      <c r="I342" s="26" t="s">
        <v>28</v>
      </c>
      <c r="J342" s="26">
        <v>0</v>
      </c>
      <c r="K342" s="26">
        <v>0</v>
      </c>
      <c r="L342" s="27">
        <v>0</v>
      </c>
    </row>
    <row r="343" spans="1:12" ht="30.75" thickBot="1" x14ac:dyDescent="0.3">
      <c r="A343" s="78"/>
      <c r="B343" s="81"/>
      <c r="C343" s="81"/>
      <c r="D343" s="1"/>
      <c r="E343" s="28">
        <v>0</v>
      </c>
      <c r="F343" s="28">
        <v>0</v>
      </c>
      <c r="G343" s="28">
        <v>0</v>
      </c>
      <c r="H343" s="1" t="s">
        <v>606</v>
      </c>
      <c r="I343" s="2" t="s">
        <v>28</v>
      </c>
      <c r="J343" s="2">
        <v>0</v>
      </c>
      <c r="K343" s="2">
        <v>0</v>
      </c>
      <c r="L343" s="29">
        <v>0</v>
      </c>
    </row>
    <row r="344" spans="1:12" ht="60.75" thickBot="1" x14ac:dyDescent="0.3">
      <c r="A344" s="30" t="s">
        <v>607</v>
      </c>
      <c r="B344" s="31" t="s">
        <v>608</v>
      </c>
      <c r="C344" s="24" t="s">
        <v>609</v>
      </c>
      <c r="D344" s="24" t="s">
        <v>29</v>
      </c>
      <c r="E344" s="32">
        <v>41.2</v>
      </c>
      <c r="F344" s="32">
        <v>0</v>
      </c>
      <c r="G344" s="32">
        <v>0</v>
      </c>
      <c r="H344" s="24" t="s">
        <v>610</v>
      </c>
      <c r="I344" s="26" t="s">
        <v>23</v>
      </c>
      <c r="J344" s="26">
        <v>1</v>
      </c>
      <c r="K344" s="26"/>
      <c r="L344" s="27"/>
    </row>
    <row r="345" spans="1:12" ht="45" x14ac:dyDescent="0.25">
      <c r="A345" s="30" t="s">
        <v>611</v>
      </c>
      <c r="B345" s="31" t="s">
        <v>612</v>
      </c>
      <c r="C345" s="24" t="s">
        <v>613</v>
      </c>
      <c r="D345" s="24" t="s">
        <v>29</v>
      </c>
      <c r="E345" s="32">
        <v>692.3</v>
      </c>
      <c r="F345" s="32">
        <v>0</v>
      </c>
      <c r="G345" s="32">
        <v>0</v>
      </c>
      <c r="H345" s="24" t="s">
        <v>614</v>
      </c>
      <c r="I345" s="26" t="s">
        <v>23</v>
      </c>
      <c r="J345" s="26">
        <v>1</v>
      </c>
      <c r="K345" s="26"/>
      <c r="L345" s="27"/>
    </row>
    <row r="346" spans="1:12" ht="75" x14ac:dyDescent="0.25">
      <c r="A346" s="30" t="s">
        <v>615</v>
      </c>
      <c r="B346" s="31" t="s">
        <v>616</v>
      </c>
      <c r="C346" s="24" t="s">
        <v>617</v>
      </c>
      <c r="D346" s="24" t="s">
        <v>29</v>
      </c>
      <c r="E346" s="32">
        <v>166.4</v>
      </c>
      <c r="F346" s="32">
        <v>0</v>
      </c>
      <c r="G346" s="32">
        <v>0</v>
      </c>
      <c r="H346" s="24" t="s">
        <v>614</v>
      </c>
      <c r="I346" s="26" t="s">
        <v>23</v>
      </c>
      <c r="J346" s="26">
        <v>1</v>
      </c>
      <c r="K346" s="26"/>
      <c r="L346" s="27"/>
    </row>
    <row r="347" spans="1:12" ht="45.75" thickBot="1" x14ac:dyDescent="0.3">
      <c r="A347" s="30" t="s">
        <v>618</v>
      </c>
      <c r="B347" s="31" t="s">
        <v>619</v>
      </c>
      <c r="C347" s="24" t="s">
        <v>613</v>
      </c>
      <c r="D347" s="24" t="s">
        <v>29</v>
      </c>
      <c r="E347" s="32">
        <v>45.5</v>
      </c>
      <c r="F347" s="32">
        <v>0</v>
      </c>
      <c r="G347" s="32">
        <v>0</v>
      </c>
      <c r="H347" s="24" t="s">
        <v>614</v>
      </c>
      <c r="I347" s="26" t="s">
        <v>23</v>
      </c>
      <c r="J347" s="26">
        <v>1</v>
      </c>
      <c r="K347" s="26"/>
      <c r="L347" s="27"/>
    </row>
    <row r="348" spans="1:12" ht="25.5" customHeight="1" x14ac:dyDescent="0.25">
      <c r="A348" s="76" t="s">
        <v>620</v>
      </c>
      <c r="B348" s="79" t="s">
        <v>621</v>
      </c>
      <c r="C348" s="79" t="s">
        <v>423</v>
      </c>
      <c r="D348" s="24"/>
      <c r="E348" s="25">
        <f>SUM(E349:E351)</f>
        <v>1020</v>
      </c>
      <c r="F348" s="25">
        <f>SUM(F349:F351)</f>
        <v>1360.1</v>
      </c>
      <c r="G348" s="25">
        <f>SUM(G349:G351)</f>
        <v>1135.2</v>
      </c>
      <c r="H348" s="79" t="s">
        <v>622</v>
      </c>
      <c r="I348" s="99" t="s">
        <v>28</v>
      </c>
      <c r="J348" s="99">
        <v>25</v>
      </c>
      <c r="K348" s="99">
        <v>65</v>
      </c>
      <c r="L348" s="111">
        <v>100</v>
      </c>
    </row>
    <row r="349" spans="1:12" x14ac:dyDescent="0.25">
      <c r="A349" s="77"/>
      <c r="B349" s="80"/>
      <c r="C349" s="80"/>
      <c r="D349" s="1" t="s">
        <v>44</v>
      </c>
      <c r="E349" s="28">
        <v>225.1</v>
      </c>
      <c r="F349" s="28">
        <v>275.10000000000002</v>
      </c>
      <c r="G349" s="28">
        <v>450.1</v>
      </c>
      <c r="H349" s="80"/>
      <c r="I349" s="100"/>
      <c r="J349" s="100"/>
      <c r="K349" s="100"/>
      <c r="L349" s="110"/>
    </row>
    <row r="350" spans="1:12" x14ac:dyDescent="0.25">
      <c r="A350" s="77"/>
      <c r="B350" s="80"/>
      <c r="C350" s="80"/>
      <c r="D350" s="1" t="s">
        <v>33</v>
      </c>
      <c r="E350" s="28">
        <v>779.9</v>
      </c>
      <c r="F350" s="28">
        <v>1085</v>
      </c>
      <c r="G350" s="28">
        <v>685.1</v>
      </c>
      <c r="H350" s="80"/>
      <c r="I350" s="100"/>
      <c r="J350" s="100"/>
      <c r="K350" s="100"/>
      <c r="L350" s="110"/>
    </row>
    <row r="351" spans="1:12" ht="15.75" thickBot="1" x14ac:dyDescent="0.3">
      <c r="A351" s="78"/>
      <c r="B351" s="81"/>
      <c r="C351" s="81"/>
      <c r="D351" s="1" t="s">
        <v>29</v>
      </c>
      <c r="E351" s="28">
        <v>15</v>
      </c>
      <c r="F351" s="28">
        <v>0</v>
      </c>
      <c r="G351" s="28">
        <v>0</v>
      </c>
      <c r="H351" s="81"/>
      <c r="I351" s="101"/>
      <c r="J351" s="101"/>
      <c r="K351" s="101"/>
      <c r="L351" s="109"/>
    </row>
    <row r="352" spans="1:12" x14ac:dyDescent="0.25">
      <c r="A352" s="76" t="s">
        <v>623</v>
      </c>
      <c r="B352" s="79" t="s">
        <v>624</v>
      </c>
      <c r="C352" s="79" t="s">
        <v>423</v>
      </c>
      <c r="D352" s="24"/>
      <c r="E352" s="25">
        <f>SUM(E353:E355)</f>
        <v>3624</v>
      </c>
      <c r="F352" s="25">
        <f>SUM(F353:F355)</f>
        <v>131.9</v>
      </c>
      <c r="G352" s="25">
        <f>SUM(G353:G355)</f>
        <v>50</v>
      </c>
      <c r="H352" s="24" t="s">
        <v>625</v>
      </c>
      <c r="I352" s="26" t="s">
        <v>28</v>
      </c>
      <c r="J352" s="26">
        <v>90</v>
      </c>
      <c r="K352" s="26">
        <v>100</v>
      </c>
      <c r="L352" s="27"/>
    </row>
    <row r="353" spans="1:12" x14ac:dyDescent="0.25">
      <c r="A353" s="77"/>
      <c r="B353" s="80"/>
      <c r="C353" s="80"/>
      <c r="D353" s="1" t="s">
        <v>29</v>
      </c>
      <c r="E353" s="28">
        <v>501.6</v>
      </c>
      <c r="F353" s="28">
        <v>0</v>
      </c>
      <c r="G353" s="28">
        <v>0</v>
      </c>
      <c r="H353" s="106" t="s">
        <v>626</v>
      </c>
      <c r="I353" s="107" t="s">
        <v>23</v>
      </c>
      <c r="J353" s="107"/>
      <c r="K353" s="107"/>
      <c r="L353" s="108">
        <v>1</v>
      </c>
    </row>
    <row r="354" spans="1:12" x14ac:dyDescent="0.25">
      <c r="A354" s="77"/>
      <c r="B354" s="80"/>
      <c r="C354" s="80"/>
      <c r="D354" s="1" t="s">
        <v>44</v>
      </c>
      <c r="E354" s="28">
        <v>497.3</v>
      </c>
      <c r="F354" s="28">
        <v>32.700000000000003</v>
      </c>
      <c r="G354" s="28">
        <v>7.5</v>
      </c>
      <c r="H354" s="80"/>
      <c r="I354" s="100"/>
      <c r="J354" s="100"/>
      <c r="K354" s="100"/>
      <c r="L354" s="110"/>
    </row>
    <row r="355" spans="1:12" ht="15.75" thickBot="1" x14ac:dyDescent="0.3">
      <c r="A355" s="78"/>
      <c r="B355" s="81"/>
      <c r="C355" s="81"/>
      <c r="D355" s="1" t="s">
        <v>33</v>
      </c>
      <c r="E355" s="28">
        <v>2625.1</v>
      </c>
      <c r="F355" s="28">
        <v>99.2</v>
      </c>
      <c r="G355" s="28">
        <v>42.5</v>
      </c>
      <c r="H355" s="81"/>
      <c r="I355" s="101"/>
      <c r="J355" s="101"/>
      <c r="K355" s="101"/>
      <c r="L355" s="109"/>
    </row>
    <row r="356" spans="1:12" ht="54" customHeight="1" x14ac:dyDescent="0.25">
      <c r="A356" s="76" t="s">
        <v>627</v>
      </c>
      <c r="B356" s="79" t="s">
        <v>628</v>
      </c>
      <c r="C356" s="79" t="s">
        <v>190</v>
      </c>
      <c r="D356" s="24" t="s">
        <v>44</v>
      </c>
      <c r="E356" s="25">
        <f>SUM(E357:E358)+2300</f>
        <v>2300</v>
      </c>
      <c r="F356" s="25">
        <f>SUM(F357:F358)+1200</f>
        <v>1200</v>
      </c>
      <c r="G356" s="25">
        <f>SUM(G357:G358)+1000</f>
        <v>1000</v>
      </c>
      <c r="H356" s="24" t="s">
        <v>629</v>
      </c>
      <c r="I356" s="26" t="s">
        <v>384</v>
      </c>
      <c r="J356" s="26">
        <v>5.2</v>
      </c>
      <c r="K356" s="26">
        <v>2.7</v>
      </c>
      <c r="L356" s="27">
        <v>2.2000000000000002</v>
      </c>
    </row>
    <row r="357" spans="1:12" x14ac:dyDescent="0.25">
      <c r="A357" s="77"/>
      <c r="B357" s="80"/>
      <c r="C357" s="80"/>
      <c r="D357" s="1"/>
      <c r="E357" s="28">
        <v>0</v>
      </c>
      <c r="F357" s="28">
        <v>0</v>
      </c>
      <c r="G357" s="28">
        <v>0</v>
      </c>
      <c r="H357" s="1" t="s">
        <v>630</v>
      </c>
      <c r="I357" s="2" t="s">
        <v>23</v>
      </c>
      <c r="J357" s="2">
        <v>12</v>
      </c>
      <c r="K357" s="2">
        <v>8</v>
      </c>
      <c r="L357" s="29">
        <v>8</v>
      </c>
    </row>
    <row r="358" spans="1:12" ht="30.75" thickBot="1" x14ac:dyDescent="0.3">
      <c r="A358" s="78"/>
      <c r="B358" s="81"/>
      <c r="C358" s="81"/>
      <c r="D358" s="1"/>
      <c r="E358" s="28">
        <v>0</v>
      </c>
      <c r="F358" s="28">
        <v>0</v>
      </c>
      <c r="G358" s="28">
        <v>0</v>
      </c>
      <c r="H358" s="1" t="s">
        <v>631</v>
      </c>
      <c r="I358" s="2" t="s">
        <v>23</v>
      </c>
      <c r="J358" s="2">
        <v>300</v>
      </c>
      <c r="K358" s="2">
        <v>300</v>
      </c>
      <c r="L358" s="29">
        <v>300</v>
      </c>
    </row>
    <row r="359" spans="1:12" ht="38.25" customHeight="1" x14ac:dyDescent="0.25">
      <c r="A359" s="76" t="s">
        <v>632</v>
      </c>
      <c r="B359" s="79" t="s">
        <v>633</v>
      </c>
      <c r="C359" s="79" t="s">
        <v>190</v>
      </c>
      <c r="D359" s="24"/>
      <c r="E359" s="25">
        <f>SUM(E360:E361)</f>
        <v>839.8</v>
      </c>
      <c r="F359" s="25">
        <f>SUM(F360:F361)</f>
        <v>250</v>
      </c>
      <c r="G359" s="25">
        <f>SUM(G360:G361)</f>
        <v>250</v>
      </c>
      <c r="H359" s="79" t="s">
        <v>634</v>
      </c>
      <c r="I359" s="99" t="s">
        <v>23</v>
      </c>
      <c r="J359" s="99">
        <v>30</v>
      </c>
      <c r="K359" s="99">
        <v>35</v>
      </c>
      <c r="L359" s="111">
        <v>40</v>
      </c>
    </row>
    <row r="360" spans="1:12" x14ac:dyDescent="0.25">
      <c r="A360" s="77"/>
      <c r="B360" s="80"/>
      <c r="C360" s="80"/>
      <c r="D360" s="1" t="s">
        <v>29</v>
      </c>
      <c r="E360" s="28">
        <v>619.79999999999995</v>
      </c>
      <c r="F360" s="28">
        <v>0</v>
      </c>
      <c r="G360" s="28">
        <v>0</v>
      </c>
      <c r="H360" s="80"/>
      <c r="I360" s="100"/>
      <c r="J360" s="100"/>
      <c r="K360" s="100"/>
      <c r="L360" s="110"/>
    </row>
    <row r="361" spans="1:12" ht="15.75" thickBot="1" x14ac:dyDescent="0.3">
      <c r="A361" s="78"/>
      <c r="B361" s="81"/>
      <c r="C361" s="81"/>
      <c r="D361" s="1" t="s">
        <v>44</v>
      </c>
      <c r="E361" s="28">
        <v>220</v>
      </c>
      <c r="F361" s="28">
        <v>250</v>
      </c>
      <c r="G361" s="28">
        <v>250</v>
      </c>
      <c r="H361" s="81"/>
      <c r="I361" s="101"/>
      <c r="J361" s="101"/>
      <c r="K361" s="101"/>
      <c r="L361" s="109"/>
    </row>
    <row r="362" spans="1:12" ht="28.5" customHeight="1" thickBot="1" x14ac:dyDescent="0.3">
      <c r="A362" s="12" t="s">
        <v>635</v>
      </c>
      <c r="B362" s="13" t="s">
        <v>636</v>
      </c>
      <c r="C362" s="66" t="s">
        <v>637</v>
      </c>
      <c r="D362" s="67"/>
      <c r="E362" s="14">
        <f>E363+E398+E427</f>
        <v>2241.1999999999998</v>
      </c>
      <c r="F362" s="14">
        <f>F363+F398+F427</f>
        <v>1706.3</v>
      </c>
      <c r="G362" s="14">
        <f>G363+G398+G427</f>
        <v>1376</v>
      </c>
      <c r="H362" s="93"/>
      <c r="I362" s="94"/>
      <c r="J362" s="94"/>
      <c r="K362" s="94"/>
      <c r="L362" s="95"/>
    </row>
    <row r="363" spans="1:12" ht="30" x14ac:dyDescent="0.25">
      <c r="A363" s="68" t="s">
        <v>638</v>
      </c>
      <c r="B363" s="70" t="s">
        <v>639</v>
      </c>
      <c r="C363" s="71"/>
      <c r="D363" s="72"/>
      <c r="E363" s="15">
        <f>E364+E365+E366+E367+E370+E372+E373+E374+E375+E380+E383+E393+E397</f>
        <v>1556.5</v>
      </c>
      <c r="F363" s="15">
        <f>F364+F365+F366+F367+F370+F372+F373+F374+F375+F380+F383+F393+F397</f>
        <v>1113.5</v>
      </c>
      <c r="G363" s="15">
        <f>G364+G365+G366+G367+G370+G372+G373+G374+G375+G380+G383+G393+G397</f>
        <v>645.5</v>
      </c>
      <c r="H363" s="16" t="s">
        <v>640</v>
      </c>
      <c r="I363" s="17" t="s">
        <v>21</v>
      </c>
      <c r="J363" s="62">
        <v>0.38</v>
      </c>
      <c r="K363" s="17">
        <v>0.4</v>
      </c>
      <c r="L363" s="63">
        <v>0.42</v>
      </c>
    </row>
    <row r="364" spans="1:12" ht="30" x14ac:dyDescent="0.25">
      <c r="A364" s="102"/>
      <c r="B364" s="103"/>
      <c r="C364" s="104"/>
      <c r="D364" s="105"/>
      <c r="E364" s="20">
        <v>0</v>
      </c>
      <c r="F364" s="20">
        <v>0</v>
      </c>
      <c r="G364" s="20">
        <v>0</v>
      </c>
      <c r="H364" s="21" t="s">
        <v>641</v>
      </c>
      <c r="I364" s="22" t="s">
        <v>28</v>
      </c>
      <c r="J364" s="22">
        <v>6.7</v>
      </c>
      <c r="K364" s="22">
        <v>6.5</v>
      </c>
      <c r="L364" s="23">
        <v>6.4</v>
      </c>
    </row>
    <row r="365" spans="1:12" ht="30.75" thickBot="1" x14ac:dyDescent="0.3">
      <c r="A365" s="69"/>
      <c r="B365" s="73"/>
      <c r="C365" s="74"/>
      <c r="D365" s="75"/>
      <c r="E365" s="20">
        <v>0</v>
      </c>
      <c r="F365" s="20">
        <v>0</v>
      </c>
      <c r="G365" s="20">
        <v>0</v>
      </c>
      <c r="H365" s="21" t="s">
        <v>642</v>
      </c>
      <c r="I365" s="22" t="s">
        <v>23</v>
      </c>
      <c r="J365" s="64">
        <v>0.88</v>
      </c>
      <c r="K365" s="22">
        <v>0.9</v>
      </c>
      <c r="L365" s="65">
        <v>0.91</v>
      </c>
    </row>
    <row r="366" spans="1:12" ht="30.75" thickBot="1" x14ac:dyDescent="0.3">
      <c r="A366" s="30" t="s">
        <v>643</v>
      </c>
      <c r="B366" s="31" t="s">
        <v>644</v>
      </c>
      <c r="C366" s="24" t="s">
        <v>166</v>
      </c>
      <c r="D366" s="24" t="s">
        <v>44</v>
      </c>
      <c r="E366" s="32">
        <v>50</v>
      </c>
      <c r="F366" s="32">
        <v>50</v>
      </c>
      <c r="G366" s="32">
        <v>70</v>
      </c>
      <c r="H366" s="24" t="s">
        <v>645</v>
      </c>
      <c r="I366" s="26" t="s">
        <v>23</v>
      </c>
      <c r="J366" s="26">
        <v>9</v>
      </c>
      <c r="K366" s="26">
        <v>9</v>
      </c>
      <c r="L366" s="27">
        <v>10</v>
      </c>
    </row>
    <row r="367" spans="1:12" x14ac:dyDescent="0.25">
      <c r="A367" s="76" t="s">
        <v>646</v>
      </c>
      <c r="B367" s="79" t="s">
        <v>647</v>
      </c>
      <c r="C367" s="79" t="s">
        <v>166</v>
      </c>
      <c r="D367" s="24" t="s">
        <v>44</v>
      </c>
      <c r="E367" s="25">
        <f>SUM(E368:E369)+23</f>
        <v>23</v>
      </c>
      <c r="F367" s="25">
        <f>SUM(F368:F369)+25</f>
        <v>25</v>
      </c>
      <c r="G367" s="25">
        <f>SUM(G368:G369)+27</f>
        <v>27</v>
      </c>
      <c r="H367" s="24" t="s">
        <v>648</v>
      </c>
      <c r="I367" s="26" t="s">
        <v>23</v>
      </c>
      <c r="J367" s="26">
        <v>5</v>
      </c>
      <c r="K367" s="26">
        <v>5</v>
      </c>
      <c r="L367" s="27">
        <v>5</v>
      </c>
    </row>
    <row r="368" spans="1:12" x14ac:dyDescent="0.25">
      <c r="A368" s="77"/>
      <c r="B368" s="80"/>
      <c r="C368" s="80"/>
      <c r="D368" s="1"/>
      <c r="E368" s="28">
        <v>0</v>
      </c>
      <c r="F368" s="28">
        <v>0</v>
      </c>
      <c r="G368" s="28">
        <v>0</v>
      </c>
      <c r="H368" s="1" t="s">
        <v>649</v>
      </c>
      <c r="I368" s="2" t="s">
        <v>23</v>
      </c>
      <c r="J368" s="2">
        <v>6</v>
      </c>
      <c r="K368" s="2">
        <v>6</v>
      </c>
      <c r="L368" s="29">
        <v>6</v>
      </c>
    </row>
    <row r="369" spans="1:12" ht="15.75" thickBot="1" x14ac:dyDescent="0.3">
      <c r="A369" s="78"/>
      <c r="B369" s="81"/>
      <c r="C369" s="81"/>
      <c r="D369" s="1"/>
      <c r="E369" s="28">
        <v>0</v>
      </c>
      <c r="F369" s="28">
        <v>0</v>
      </c>
      <c r="G369" s="28">
        <v>0</v>
      </c>
      <c r="H369" s="1" t="s">
        <v>650</v>
      </c>
      <c r="I369" s="2" t="s">
        <v>651</v>
      </c>
      <c r="J369" s="2">
        <v>280</v>
      </c>
      <c r="K369" s="2">
        <v>280</v>
      </c>
      <c r="L369" s="29">
        <v>280</v>
      </c>
    </row>
    <row r="370" spans="1:12" x14ac:dyDescent="0.25">
      <c r="A370" s="76" t="s">
        <v>652</v>
      </c>
      <c r="B370" s="79" t="s">
        <v>653</v>
      </c>
      <c r="C370" s="79" t="s">
        <v>166</v>
      </c>
      <c r="D370" s="24" t="s">
        <v>44</v>
      </c>
      <c r="E370" s="25">
        <f>SUM(E371:E371)+46</f>
        <v>46</v>
      </c>
      <c r="F370" s="25">
        <f>SUM(F371:F371)+48</f>
        <v>48</v>
      </c>
      <c r="G370" s="25">
        <f>SUM(G371:G371)+50</f>
        <v>50</v>
      </c>
      <c r="H370" s="24" t="s">
        <v>654</v>
      </c>
      <c r="I370" s="26" t="s">
        <v>104</v>
      </c>
      <c r="J370" s="26">
        <v>35</v>
      </c>
      <c r="K370" s="26">
        <v>35</v>
      </c>
      <c r="L370" s="27">
        <v>35</v>
      </c>
    </row>
    <row r="371" spans="1:12" ht="30.75" thickBot="1" x14ac:dyDescent="0.3">
      <c r="A371" s="78"/>
      <c r="B371" s="81"/>
      <c r="C371" s="81"/>
      <c r="D371" s="1"/>
      <c r="E371" s="28">
        <v>0</v>
      </c>
      <c r="F371" s="28">
        <v>0</v>
      </c>
      <c r="G371" s="28">
        <v>0</v>
      </c>
      <c r="H371" s="1" t="s">
        <v>655</v>
      </c>
      <c r="I371" s="2" t="s">
        <v>23</v>
      </c>
      <c r="J371" s="2">
        <v>15</v>
      </c>
      <c r="K371" s="2">
        <v>15</v>
      </c>
      <c r="L371" s="29">
        <v>15</v>
      </c>
    </row>
    <row r="372" spans="1:12" ht="75.75" thickBot="1" x14ac:dyDescent="0.3">
      <c r="A372" s="30" t="s">
        <v>656</v>
      </c>
      <c r="B372" s="31" t="s">
        <v>657</v>
      </c>
      <c r="C372" s="24" t="s">
        <v>166</v>
      </c>
      <c r="D372" s="24" t="s">
        <v>44</v>
      </c>
      <c r="E372" s="32">
        <v>4</v>
      </c>
      <c r="F372" s="32">
        <v>4</v>
      </c>
      <c r="G372" s="32">
        <v>0</v>
      </c>
      <c r="H372" s="24" t="s">
        <v>658</v>
      </c>
      <c r="I372" s="26" t="s">
        <v>23</v>
      </c>
      <c r="J372" s="26">
        <v>10</v>
      </c>
      <c r="K372" s="26">
        <v>10</v>
      </c>
      <c r="L372" s="27">
        <v>0</v>
      </c>
    </row>
    <row r="373" spans="1:12" ht="60" x14ac:dyDescent="0.25">
      <c r="A373" s="30" t="s">
        <v>659</v>
      </c>
      <c r="B373" s="31" t="s">
        <v>660</v>
      </c>
      <c r="C373" s="24" t="s">
        <v>661</v>
      </c>
      <c r="D373" s="24" t="s">
        <v>44</v>
      </c>
      <c r="E373" s="32">
        <v>25</v>
      </c>
      <c r="F373" s="32">
        <v>50</v>
      </c>
      <c r="G373" s="32">
        <v>50</v>
      </c>
      <c r="H373" s="24" t="s">
        <v>662</v>
      </c>
      <c r="I373" s="26" t="s">
        <v>28</v>
      </c>
      <c r="J373" s="26">
        <v>100</v>
      </c>
      <c r="K373" s="26">
        <v>100</v>
      </c>
      <c r="L373" s="27">
        <v>100</v>
      </c>
    </row>
    <row r="374" spans="1:12" ht="45.75" thickBot="1" x14ac:dyDescent="0.3">
      <c r="A374" s="30" t="s">
        <v>663</v>
      </c>
      <c r="B374" s="31" t="s">
        <v>664</v>
      </c>
      <c r="C374" s="24" t="s">
        <v>665</v>
      </c>
      <c r="D374" s="24" t="s">
        <v>44</v>
      </c>
      <c r="E374" s="32">
        <v>100</v>
      </c>
      <c r="F374" s="32">
        <v>100</v>
      </c>
      <c r="G374" s="32">
        <v>100</v>
      </c>
      <c r="H374" s="24" t="s">
        <v>666</v>
      </c>
      <c r="I374" s="26" t="s">
        <v>23</v>
      </c>
      <c r="J374" s="26">
        <v>15</v>
      </c>
      <c r="K374" s="26">
        <v>15</v>
      </c>
      <c r="L374" s="27">
        <v>15</v>
      </c>
    </row>
    <row r="375" spans="1:12" x14ac:dyDescent="0.25">
      <c r="A375" s="76" t="s">
        <v>667</v>
      </c>
      <c r="B375" s="79" t="s">
        <v>668</v>
      </c>
      <c r="C375" s="79" t="s">
        <v>669</v>
      </c>
      <c r="D375" s="24"/>
      <c r="E375" s="25">
        <f>SUM(E376:E379)</f>
        <v>938.5</v>
      </c>
      <c r="F375" s="25">
        <f>SUM(F376:F379)</f>
        <v>500</v>
      </c>
      <c r="G375" s="25">
        <f>SUM(G376:G379)</f>
        <v>0</v>
      </c>
      <c r="H375" s="24" t="s">
        <v>670</v>
      </c>
      <c r="I375" s="26" t="s">
        <v>23</v>
      </c>
      <c r="J375" s="26">
        <v>1</v>
      </c>
      <c r="K375" s="26"/>
      <c r="L375" s="27"/>
    </row>
    <row r="376" spans="1:12" ht="30" x14ac:dyDescent="0.25">
      <c r="A376" s="77"/>
      <c r="B376" s="80"/>
      <c r="C376" s="80"/>
      <c r="D376" s="1" t="s">
        <v>44</v>
      </c>
      <c r="E376" s="28">
        <v>230</v>
      </c>
      <c r="F376" s="28">
        <v>500</v>
      </c>
      <c r="G376" s="28">
        <v>0</v>
      </c>
      <c r="H376" s="1" t="s">
        <v>671</v>
      </c>
      <c r="I376" s="2" t="s">
        <v>23</v>
      </c>
      <c r="J376" s="2">
        <v>1</v>
      </c>
      <c r="K376" s="2"/>
      <c r="L376" s="29"/>
    </row>
    <row r="377" spans="1:12" ht="45" x14ac:dyDescent="0.25">
      <c r="A377" s="77"/>
      <c r="B377" s="80"/>
      <c r="C377" s="80"/>
      <c r="D377" s="1" t="s">
        <v>29</v>
      </c>
      <c r="E377" s="28">
        <v>708.5</v>
      </c>
      <c r="F377" s="28">
        <v>0</v>
      </c>
      <c r="G377" s="28">
        <v>0</v>
      </c>
      <c r="H377" s="1" t="s">
        <v>672</v>
      </c>
      <c r="I377" s="2" t="s">
        <v>23</v>
      </c>
      <c r="J377" s="2">
        <v>1</v>
      </c>
      <c r="K377" s="2"/>
      <c r="L377" s="29"/>
    </row>
    <row r="378" spans="1:12" ht="30" x14ac:dyDescent="0.25">
      <c r="A378" s="77"/>
      <c r="B378" s="80"/>
      <c r="C378" s="80"/>
      <c r="D378" s="1"/>
      <c r="E378" s="28">
        <v>0</v>
      </c>
      <c r="F378" s="28">
        <v>0</v>
      </c>
      <c r="G378" s="28">
        <v>0</v>
      </c>
      <c r="H378" s="1" t="s">
        <v>673</v>
      </c>
      <c r="I378" s="2" t="s">
        <v>361</v>
      </c>
      <c r="J378" s="2"/>
      <c r="K378" s="2">
        <v>1</v>
      </c>
      <c r="L378" s="29"/>
    </row>
    <row r="379" spans="1:12" ht="30.75" thickBot="1" x14ac:dyDescent="0.3">
      <c r="A379" s="78"/>
      <c r="B379" s="81"/>
      <c r="C379" s="81"/>
      <c r="D379" s="1"/>
      <c r="E379" s="28">
        <v>0</v>
      </c>
      <c r="F379" s="28">
        <v>0</v>
      </c>
      <c r="G379" s="28">
        <v>0</v>
      </c>
      <c r="H379" s="1" t="s">
        <v>674</v>
      </c>
      <c r="I379" s="2" t="s">
        <v>28</v>
      </c>
      <c r="J379" s="2"/>
      <c r="K379" s="2"/>
      <c r="L379" s="29">
        <v>100</v>
      </c>
    </row>
    <row r="380" spans="1:12" ht="30" x14ac:dyDescent="0.25">
      <c r="A380" s="76" t="s">
        <v>675</v>
      </c>
      <c r="B380" s="79" t="s">
        <v>676</v>
      </c>
      <c r="C380" s="79" t="s">
        <v>677</v>
      </c>
      <c r="D380" s="24" t="s">
        <v>44</v>
      </c>
      <c r="E380" s="25">
        <f>SUM(E381:E382)+220</f>
        <v>220</v>
      </c>
      <c r="F380" s="25">
        <f>SUM(F381:F382)+170</f>
        <v>170</v>
      </c>
      <c r="G380" s="25">
        <f>SUM(G381:G382)+170</f>
        <v>170</v>
      </c>
      <c r="H380" s="24" t="s">
        <v>678</v>
      </c>
      <c r="I380" s="26" t="s">
        <v>28</v>
      </c>
      <c r="J380" s="26">
        <v>100</v>
      </c>
      <c r="K380" s="26">
        <v>100</v>
      </c>
      <c r="L380" s="27">
        <v>100</v>
      </c>
    </row>
    <row r="381" spans="1:12" x14ac:dyDescent="0.25">
      <c r="A381" s="77"/>
      <c r="B381" s="80"/>
      <c r="C381" s="80"/>
      <c r="D381" s="1"/>
      <c r="E381" s="28">
        <v>0</v>
      </c>
      <c r="F381" s="28">
        <v>0</v>
      </c>
      <c r="G381" s="28">
        <v>0</v>
      </c>
      <c r="H381" s="1" t="s">
        <v>679</v>
      </c>
      <c r="I381" s="2" t="s">
        <v>23</v>
      </c>
      <c r="J381" s="2">
        <v>1</v>
      </c>
      <c r="K381" s="2"/>
      <c r="L381" s="29"/>
    </row>
    <row r="382" spans="1:12" ht="15.75" thickBot="1" x14ac:dyDescent="0.3">
      <c r="A382" s="78"/>
      <c r="B382" s="81"/>
      <c r="C382" s="81"/>
      <c r="D382" s="1"/>
      <c r="E382" s="28">
        <v>0</v>
      </c>
      <c r="F382" s="28">
        <v>0</v>
      </c>
      <c r="G382" s="28">
        <v>0</v>
      </c>
      <c r="H382" s="1" t="s">
        <v>680</v>
      </c>
      <c r="I382" s="2" t="s">
        <v>28</v>
      </c>
      <c r="J382" s="2">
        <v>100</v>
      </c>
      <c r="K382" s="2"/>
      <c r="L382" s="29"/>
    </row>
    <row r="383" spans="1:12" x14ac:dyDescent="0.25">
      <c r="A383" s="76" t="s">
        <v>681</v>
      </c>
      <c r="B383" s="79" t="s">
        <v>682</v>
      </c>
      <c r="C383" s="79" t="s">
        <v>166</v>
      </c>
      <c r="D383" s="24" t="s">
        <v>44</v>
      </c>
      <c r="E383" s="25">
        <f>SUM(E384:E392)+62.5</f>
        <v>62.5</v>
      </c>
      <c r="F383" s="25">
        <f>SUM(F384:F392)+62.5</f>
        <v>62.5</v>
      </c>
      <c r="G383" s="25">
        <f>SUM(G384:G392)+62.5</f>
        <v>62.5</v>
      </c>
      <c r="H383" s="24" t="s">
        <v>683</v>
      </c>
      <c r="I383" s="26" t="s">
        <v>23</v>
      </c>
      <c r="J383" s="26">
        <v>4</v>
      </c>
      <c r="K383" s="26">
        <v>4</v>
      </c>
      <c r="L383" s="27">
        <v>4</v>
      </c>
    </row>
    <row r="384" spans="1:12" ht="27" customHeight="1" x14ac:dyDescent="0.25">
      <c r="A384" s="77"/>
      <c r="B384" s="80"/>
      <c r="C384" s="80"/>
      <c r="D384" s="1"/>
      <c r="E384" s="28">
        <v>0</v>
      </c>
      <c r="F384" s="28">
        <v>0</v>
      </c>
      <c r="G384" s="28">
        <v>0</v>
      </c>
      <c r="H384" s="1" t="s">
        <v>684</v>
      </c>
      <c r="I384" s="2" t="s">
        <v>23</v>
      </c>
      <c r="J384" s="2">
        <v>6</v>
      </c>
      <c r="K384" s="2">
        <v>6</v>
      </c>
      <c r="L384" s="29">
        <v>6</v>
      </c>
    </row>
    <row r="385" spans="1:12" x14ac:dyDescent="0.25">
      <c r="A385" s="77"/>
      <c r="B385" s="80"/>
      <c r="C385" s="80"/>
      <c r="D385" s="1"/>
      <c r="E385" s="28">
        <v>0</v>
      </c>
      <c r="F385" s="28">
        <v>0</v>
      </c>
      <c r="G385" s="28">
        <v>0</v>
      </c>
      <c r="H385" s="1" t="s">
        <v>685</v>
      </c>
      <c r="I385" s="2" t="s">
        <v>23</v>
      </c>
      <c r="J385" s="2">
        <v>1</v>
      </c>
      <c r="K385" s="2">
        <v>1</v>
      </c>
      <c r="L385" s="29">
        <v>1</v>
      </c>
    </row>
    <row r="386" spans="1:12" ht="30" x14ac:dyDescent="0.25">
      <c r="A386" s="77"/>
      <c r="B386" s="80"/>
      <c r="C386" s="80"/>
      <c r="D386" s="1"/>
      <c r="E386" s="28">
        <v>0</v>
      </c>
      <c r="F386" s="28">
        <v>0</v>
      </c>
      <c r="G386" s="28">
        <v>0</v>
      </c>
      <c r="H386" s="1" t="s">
        <v>686</v>
      </c>
      <c r="I386" s="2" t="s">
        <v>23</v>
      </c>
      <c r="J386" s="2">
        <v>1</v>
      </c>
      <c r="K386" s="2">
        <v>1</v>
      </c>
      <c r="L386" s="29">
        <v>1</v>
      </c>
    </row>
    <row r="387" spans="1:12" x14ac:dyDescent="0.25">
      <c r="A387" s="77"/>
      <c r="B387" s="80"/>
      <c r="C387" s="80"/>
      <c r="D387" s="1"/>
      <c r="E387" s="28">
        <v>0</v>
      </c>
      <c r="F387" s="28">
        <v>0</v>
      </c>
      <c r="G387" s="28">
        <v>0</v>
      </c>
      <c r="H387" s="1" t="s">
        <v>687</v>
      </c>
      <c r="I387" s="2" t="s">
        <v>23</v>
      </c>
      <c r="J387" s="2">
        <v>1</v>
      </c>
      <c r="K387" s="2">
        <v>1</v>
      </c>
      <c r="L387" s="29">
        <v>1</v>
      </c>
    </row>
    <row r="388" spans="1:12" ht="30" x14ac:dyDescent="0.25">
      <c r="A388" s="77"/>
      <c r="B388" s="80"/>
      <c r="C388" s="80"/>
      <c r="D388" s="1"/>
      <c r="E388" s="28">
        <v>0</v>
      </c>
      <c r="F388" s="28">
        <v>0</v>
      </c>
      <c r="G388" s="28">
        <v>0</v>
      </c>
      <c r="H388" s="1" t="s">
        <v>688</v>
      </c>
      <c r="I388" s="2" t="s">
        <v>23</v>
      </c>
      <c r="J388" s="2">
        <v>1</v>
      </c>
      <c r="K388" s="2">
        <v>1</v>
      </c>
      <c r="L388" s="29">
        <v>1</v>
      </c>
    </row>
    <row r="389" spans="1:12" ht="45" x14ac:dyDescent="0.25">
      <c r="A389" s="77"/>
      <c r="B389" s="80"/>
      <c r="C389" s="80"/>
      <c r="D389" s="1"/>
      <c r="E389" s="28">
        <v>0</v>
      </c>
      <c r="F389" s="28">
        <v>0</v>
      </c>
      <c r="G389" s="28">
        <v>0</v>
      </c>
      <c r="H389" s="1" t="s">
        <v>689</v>
      </c>
      <c r="I389" s="2" t="s">
        <v>23</v>
      </c>
      <c r="J389" s="2">
        <v>1</v>
      </c>
      <c r="K389" s="2"/>
      <c r="L389" s="29">
        <v>1</v>
      </c>
    </row>
    <row r="390" spans="1:12" ht="60" x14ac:dyDescent="0.25">
      <c r="A390" s="77"/>
      <c r="B390" s="80"/>
      <c r="C390" s="80"/>
      <c r="D390" s="1"/>
      <c r="E390" s="28">
        <v>0</v>
      </c>
      <c r="F390" s="28">
        <v>0</v>
      </c>
      <c r="G390" s="28">
        <v>0</v>
      </c>
      <c r="H390" s="1" t="s">
        <v>690</v>
      </c>
      <c r="I390" s="2" t="s">
        <v>23</v>
      </c>
      <c r="J390" s="2">
        <v>2</v>
      </c>
      <c r="K390" s="2">
        <v>2</v>
      </c>
      <c r="L390" s="29">
        <v>2</v>
      </c>
    </row>
    <row r="391" spans="1:12" ht="45" x14ac:dyDescent="0.25">
      <c r="A391" s="77"/>
      <c r="B391" s="80"/>
      <c r="C391" s="80"/>
      <c r="D391" s="1"/>
      <c r="E391" s="28">
        <v>0</v>
      </c>
      <c r="F391" s="28">
        <v>0</v>
      </c>
      <c r="G391" s="28">
        <v>0</v>
      </c>
      <c r="H391" s="1" t="s">
        <v>691</v>
      </c>
      <c r="I391" s="2" t="s">
        <v>23</v>
      </c>
      <c r="J391" s="2">
        <v>1</v>
      </c>
      <c r="K391" s="2"/>
      <c r="L391" s="29"/>
    </row>
    <row r="392" spans="1:12" ht="45.75" thickBot="1" x14ac:dyDescent="0.3">
      <c r="A392" s="78"/>
      <c r="B392" s="81"/>
      <c r="C392" s="81"/>
      <c r="D392" s="1"/>
      <c r="E392" s="28">
        <v>0</v>
      </c>
      <c r="F392" s="28">
        <v>0</v>
      </c>
      <c r="G392" s="28">
        <v>0</v>
      </c>
      <c r="H392" s="1" t="s">
        <v>692</v>
      </c>
      <c r="I392" s="2" t="s">
        <v>23</v>
      </c>
      <c r="J392" s="2">
        <v>1</v>
      </c>
      <c r="K392" s="2">
        <v>1</v>
      </c>
      <c r="L392" s="29">
        <v>1</v>
      </c>
    </row>
    <row r="393" spans="1:12" ht="26.25" customHeight="1" x14ac:dyDescent="0.25">
      <c r="A393" s="76" t="s">
        <v>693</v>
      </c>
      <c r="B393" s="79" t="s">
        <v>694</v>
      </c>
      <c r="C393" s="79" t="s">
        <v>695</v>
      </c>
      <c r="D393" s="24" t="s">
        <v>44</v>
      </c>
      <c r="E393" s="25">
        <f>SUM(E394:E396)+73.5</f>
        <v>73.5</v>
      </c>
      <c r="F393" s="25">
        <f>SUM(F394:F396)+90</f>
        <v>90</v>
      </c>
      <c r="G393" s="25">
        <f>SUM(G394:G396)+102</f>
        <v>102</v>
      </c>
      <c r="H393" s="24" t="s">
        <v>696</v>
      </c>
      <c r="I393" s="26" t="s">
        <v>23</v>
      </c>
      <c r="J393" s="26">
        <v>12</v>
      </c>
      <c r="K393" s="26">
        <v>15</v>
      </c>
      <c r="L393" s="27">
        <v>17</v>
      </c>
    </row>
    <row r="394" spans="1:12" x14ac:dyDescent="0.25">
      <c r="A394" s="77"/>
      <c r="B394" s="80"/>
      <c r="C394" s="80"/>
      <c r="D394" s="1"/>
      <c r="E394" s="28">
        <v>0</v>
      </c>
      <c r="F394" s="28">
        <v>0</v>
      </c>
      <c r="G394" s="28">
        <v>0</v>
      </c>
      <c r="H394" s="1" t="s">
        <v>697</v>
      </c>
      <c r="I394" s="2" t="s">
        <v>23</v>
      </c>
      <c r="J394" s="2">
        <v>9</v>
      </c>
      <c r="K394" s="2">
        <v>10</v>
      </c>
      <c r="L394" s="29">
        <v>11</v>
      </c>
    </row>
    <row r="395" spans="1:12" ht="30" x14ac:dyDescent="0.25">
      <c r="A395" s="77"/>
      <c r="B395" s="80"/>
      <c r="C395" s="80"/>
      <c r="D395" s="1"/>
      <c r="E395" s="28">
        <v>0</v>
      </c>
      <c r="F395" s="28">
        <v>0</v>
      </c>
      <c r="G395" s="28">
        <v>0</v>
      </c>
      <c r="H395" s="1" t="s">
        <v>698</v>
      </c>
      <c r="I395" s="2" t="s">
        <v>23</v>
      </c>
      <c r="J395" s="2">
        <v>2</v>
      </c>
      <c r="K395" s="2">
        <v>2</v>
      </c>
      <c r="L395" s="29">
        <v>2</v>
      </c>
    </row>
    <row r="396" spans="1:12" ht="30.75" thickBot="1" x14ac:dyDescent="0.3">
      <c r="A396" s="78"/>
      <c r="B396" s="81"/>
      <c r="C396" s="81"/>
      <c r="D396" s="1"/>
      <c r="E396" s="28">
        <v>0</v>
      </c>
      <c r="F396" s="28">
        <v>0</v>
      </c>
      <c r="G396" s="28">
        <v>0</v>
      </c>
      <c r="H396" s="1" t="s">
        <v>699</v>
      </c>
      <c r="I396" s="2" t="s">
        <v>23</v>
      </c>
      <c r="J396" s="2">
        <v>16</v>
      </c>
      <c r="K396" s="2">
        <v>18</v>
      </c>
      <c r="L396" s="29">
        <v>20</v>
      </c>
    </row>
    <row r="397" spans="1:12" ht="30.75" thickBot="1" x14ac:dyDescent="0.3">
      <c r="A397" s="30" t="s">
        <v>700</v>
      </c>
      <c r="B397" s="31" t="s">
        <v>701</v>
      </c>
      <c r="C397" s="24" t="s">
        <v>243</v>
      </c>
      <c r="D397" s="24" t="s">
        <v>44</v>
      </c>
      <c r="E397" s="32">
        <v>14</v>
      </c>
      <c r="F397" s="32">
        <v>14</v>
      </c>
      <c r="G397" s="32">
        <v>14</v>
      </c>
      <c r="H397" s="24" t="s">
        <v>702</v>
      </c>
      <c r="I397" s="26" t="s">
        <v>123</v>
      </c>
      <c r="J397" s="26">
        <v>28</v>
      </c>
      <c r="K397" s="26">
        <v>28</v>
      </c>
      <c r="L397" s="27">
        <v>28</v>
      </c>
    </row>
    <row r="398" spans="1:12" ht="45" x14ac:dyDescent="0.25">
      <c r="A398" s="68" t="s">
        <v>703</v>
      </c>
      <c r="B398" s="70" t="s">
        <v>704</v>
      </c>
      <c r="C398" s="71"/>
      <c r="D398" s="72"/>
      <c r="E398" s="15">
        <f>E399+E400+E401+E407+E410+E411+E420+E426</f>
        <v>631.70000000000005</v>
      </c>
      <c r="F398" s="15">
        <f>F399+F400+F401+F407+F410+F411+F420+F426</f>
        <v>537.79999999999995</v>
      </c>
      <c r="G398" s="15">
        <f>G399+G400+G401+G407+G410+G411+G420+G426</f>
        <v>561.5</v>
      </c>
      <c r="H398" s="16" t="s">
        <v>705</v>
      </c>
      <c r="I398" s="17" t="s">
        <v>104</v>
      </c>
      <c r="J398" s="37">
        <v>301000</v>
      </c>
      <c r="K398" s="37">
        <v>317000</v>
      </c>
      <c r="L398" s="38">
        <v>334000</v>
      </c>
    </row>
    <row r="399" spans="1:12" x14ac:dyDescent="0.25">
      <c r="A399" s="102"/>
      <c r="B399" s="103"/>
      <c r="C399" s="104"/>
      <c r="D399" s="105"/>
      <c r="E399" s="20">
        <v>0</v>
      </c>
      <c r="F399" s="20">
        <v>0</v>
      </c>
      <c r="G399" s="20">
        <v>0</v>
      </c>
      <c r="H399" s="21" t="s">
        <v>706</v>
      </c>
      <c r="I399" s="22" t="s">
        <v>23</v>
      </c>
      <c r="J399" s="39">
        <v>1400</v>
      </c>
      <c r="K399" s="39">
        <v>1450</v>
      </c>
      <c r="L399" s="40">
        <v>1500</v>
      </c>
    </row>
    <row r="400" spans="1:12" ht="45.75" thickBot="1" x14ac:dyDescent="0.3">
      <c r="A400" s="69"/>
      <c r="B400" s="73"/>
      <c r="C400" s="74"/>
      <c r="D400" s="75"/>
      <c r="E400" s="20">
        <v>0</v>
      </c>
      <c r="F400" s="20">
        <v>0</v>
      </c>
      <c r="G400" s="20">
        <v>0</v>
      </c>
      <c r="H400" s="21" t="s">
        <v>707</v>
      </c>
      <c r="I400" s="22" t="s">
        <v>28</v>
      </c>
      <c r="J400" s="22"/>
      <c r="K400" s="22">
        <v>45</v>
      </c>
      <c r="L400" s="23"/>
    </row>
    <row r="401" spans="1:12" ht="15.75" customHeight="1" x14ac:dyDescent="0.25">
      <c r="A401" s="76" t="s">
        <v>708</v>
      </c>
      <c r="B401" s="79" t="s">
        <v>709</v>
      </c>
      <c r="C401" s="79" t="s">
        <v>710</v>
      </c>
      <c r="D401" s="24"/>
      <c r="E401" s="25">
        <f>SUM(E402:E406)</f>
        <v>374.1</v>
      </c>
      <c r="F401" s="25">
        <f>SUM(F402:F406)</f>
        <v>361.09999999999997</v>
      </c>
      <c r="G401" s="25">
        <f>SUM(G402:G406)</f>
        <v>368.59999999999997</v>
      </c>
      <c r="H401" s="24" t="s">
        <v>711</v>
      </c>
      <c r="I401" s="26" t="s">
        <v>23</v>
      </c>
      <c r="J401" s="26">
        <v>3</v>
      </c>
      <c r="K401" s="26">
        <v>3</v>
      </c>
      <c r="L401" s="27">
        <v>3</v>
      </c>
    </row>
    <row r="402" spans="1:12" ht="30" x14ac:dyDescent="0.25">
      <c r="A402" s="77"/>
      <c r="B402" s="80"/>
      <c r="C402" s="80"/>
      <c r="D402" s="1" t="s">
        <v>29</v>
      </c>
      <c r="E402" s="28">
        <v>20.399999999999999</v>
      </c>
      <c r="F402" s="28">
        <v>0</v>
      </c>
      <c r="G402" s="28">
        <v>0</v>
      </c>
      <c r="H402" s="1" t="s">
        <v>712</v>
      </c>
      <c r="I402" s="2" t="s">
        <v>23</v>
      </c>
      <c r="J402" s="35">
        <v>34000</v>
      </c>
      <c r="K402" s="35">
        <v>34500</v>
      </c>
      <c r="L402" s="36">
        <v>35000</v>
      </c>
    </row>
    <row r="403" spans="1:12" ht="42" customHeight="1" x14ac:dyDescent="0.25">
      <c r="A403" s="77"/>
      <c r="B403" s="80"/>
      <c r="C403" s="80"/>
      <c r="D403" s="1" t="s">
        <v>116</v>
      </c>
      <c r="E403" s="28">
        <v>38</v>
      </c>
      <c r="F403" s="28">
        <v>38</v>
      </c>
      <c r="G403" s="28">
        <v>38</v>
      </c>
      <c r="H403" s="106" t="s">
        <v>713</v>
      </c>
      <c r="I403" s="107" t="s">
        <v>23</v>
      </c>
      <c r="J403" s="107">
        <v>1</v>
      </c>
      <c r="K403" s="107">
        <v>1</v>
      </c>
      <c r="L403" s="108">
        <v>1</v>
      </c>
    </row>
    <row r="404" spans="1:12" x14ac:dyDescent="0.25">
      <c r="A404" s="77"/>
      <c r="B404" s="80"/>
      <c r="C404" s="80"/>
      <c r="D404" s="1" t="s">
        <v>144</v>
      </c>
      <c r="E404" s="28">
        <v>13.2</v>
      </c>
      <c r="F404" s="28">
        <v>13.2</v>
      </c>
      <c r="G404" s="28">
        <v>13.2</v>
      </c>
      <c r="H404" s="80"/>
      <c r="I404" s="100"/>
      <c r="J404" s="100"/>
      <c r="K404" s="100"/>
      <c r="L404" s="110"/>
    </row>
    <row r="405" spans="1:12" x14ac:dyDescent="0.25">
      <c r="A405" s="77"/>
      <c r="B405" s="80"/>
      <c r="C405" s="80"/>
      <c r="D405" s="1" t="s">
        <v>44</v>
      </c>
      <c r="E405" s="28">
        <v>297.5</v>
      </c>
      <c r="F405" s="28">
        <v>304.89999999999998</v>
      </c>
      <c r="G405" s="28">
        <v>312.39999999999998</v>
      </c>
      <c r="H405" s="80"/>
      <c r="I405" s="100"/>
      <c r="J405" s="100"/>
      <c r="K405" s="100"/>
      <c r="L405" s="110"/>
    </row>
    <row r="406" spans="1:12" ht="15.75" thickBot="1" x14ac:dyDescent="0.3">
      <c r="A406" s="78"/>
      <c r="B406" s="81"/>
      <c r="C406" s="81"/>
      <c r="D406" s="1" t="s">
        <v>291</v>
      </c>
      <c r="E406" s="28">
        <v>5</v>
      </c>
      <c r="F406" s="28">
        <v>5</v>
      </c>
      <c r="G406" s="28">
        <v>5</v>
      </c>
      <c r="H406" s="81"/>
      <c r="I406" s="101"/>
      <c r="J406" s="101"/>
      <c r="K406" s="101"/>
      <c r="L406" s="109"/>
    </row>
    <row r="407" spans="1:12" ht="36.75" customHeight="1" x14ac:dyDescent="0.25">
      <c r="A407" s="76" t="s">
        <v>714</v>
      </c>
      <c r="B407" s="79" t="s">
        <v>715</v>
      </c>
      <c r="C407" s="79" t="s">
        <v>716</v>
      </c>
      <c r="D407" s="24"/>
      <c r="E407" s="25">
        <f>SUM(E408:E409)</f>
        <v>39.5</v>
      </c>
      <c r="F407" s="25">
        <f>SUM(F408:F409)</f>
        <v>2.9</v>
      </c>
      <c r="G407" s="25">
        <f>SUM(G408:G409)</f>
        <v>0</v>
      </c>
      <c r="H407" s="79" t="s">
        <v>717</v>
      </c>
      <c r="I407" s="99" t="s">
        <v>28</v>
      </c>
      <c r="J407" s="99">
        <v>95</v>
      </c>
      <c r="K407" s="99">
        <v>100</v>
      </c>
      <c r="L407" s="111"/>
    </row>
    <row r="408" spans="1:12" x14ac:dyDescent="0.25">
      <c r="A408" s="77"/>
      <c r="B408" s="80"/>
      <c r="C408" s="80"/>
      <c r="D408" s="1" t="s">
        <v>44</v>
      </c>
      <c r="E408" s="28">
        <v>35.9</v>
      </c>
      <c r="F408" s="28">
        <v>2.9</v>
      </c>
      <c r="G408" s="28">
        <v>0</v>
      </c>
      <c r="H408" s="80"/>
      <c r="I408" s="100"/>
      <c r="J408" s="100"/>
      <c r="K408" s="100"/>
      <c r="L408" s="110"/>
    </row>
    <row r="409" spans="1:12" ht="15.75" thickBot="1" x14ac:dyDescent="0.3">
      <c r="A409" s="78"/>
      <c r="B409" s="81"/>
      <c r="C409" s="81"/>
      <c r="D409" s="1" t="s">
        <v>29</v>
      </c>
      <c r="E409" s="28">
        <v>3.6</v>
      </c>
      <c r="F409" s="28">
        <v>0</v>
      </c>
      <c r="G409" s="28">
        <v>0</v>
      </c>
      <c r="H409" s="81"/>
      <c r="I409" s="101"/>
      <c r="J409" s="101"/>
      <c r="K409" s="101"/>
      <c r="L409" s="109"/>
    </row>
    <row r="410" spans="1:12" ht="45.75" thickBot="1" x14ac:dyDescent="0.3">
      <c r="A410" s="30" t="s">
        <v>718</v>
      </c>
      <c r="B410" s="31" t="s">
        <v>719</v>
      </c>
      <c r="C410" s="24" t="s">
        <v>720</v>
      </c>
      <c r="D410" s="24" t="s">
        <v>44</v>
      </c>
      <c r="E410" s="32">
        <v>3.9</v>
      </c>
      <c r="F410" s="32">
        <v>0</v>
      </c>
      <c r="G410" s="32">
        <v>0</v>
      </c>
      <c r="H410" s="24" t="s">
        <v>721</v>
      </c>
      <c r="I410" s="26" t="s">
        <v>23</v>
      </c>
      <c r="J410" s="26">
        <v>15</v>
      </c>
      <c r="K410" s="26"/>
      <c r="L410" s="27"/>
    </row>
    <row r="411" spans="1:12" ht="45" x14ac:dyDescent="0.25">
      <c r="A411" s="76" t="s">
        <v>722</v>
      </c>
      <c r="B411" s="79" t="s">
        <v>723</v>
      </c>
      <c r="C411" s="79" t="s">
        <v>710</v>
      </c>
      <c r="D411" s="24" t="s">
        <v>44</v>
      </c>
      <c r="E411" s="25">
        <f>SUM(E412:E419)+105</f>
        <v>105</v>
      </c>
      <c r="F411" s="25">
        <f>SUM(F412:F419)+122</f>
        <v>122</v>
      </c>
      <c r="G411" s="25">
        <f>SUM(G412:G419)+137</f>
        <v>137</v>
      </c>
      <c r="H411" s="24" t="s">
        <v>724</v>
      </c>
      <c r="I411" s="26" t="s">
        <v>23</v>
      </c>
      <c r="J411" s="26">
        <v>8</v>
      </c>
      <c r="K411" s="26">
        <v>8</v>
      </c>
      <c r="L411" s="27">
        <v>8</v>
      </c>
    </row>
    <row r="412" spans="1:12" ht="45" x14ac:dyDescent="0.25">
      <c r="A412" s="77"/>
      <c r="B412" s="80"/>
      <c r="C412" s="80"/>
      <c r="D412" s="1"/>
      <c r="E412" s="28">
        <v>0</v>
      </c>
      <c r="F412" s="28">
        <v>0</v>
      </c>
      <c r="G412" s="28">
        <v>0</v>
      </c>
      <c r="H412" s="1" t="s">
        <v>725</v>
      </c>
      <c r="I412" s="2" t="s">
        <v>23</v>
      </c>
      <c r="J412" s="2">
        <v>10</v>
      </c>
      <c r="K412" s="2">
        <v>12</v>
      </c>
      <c r="L412" s="29">
        <v>14</v>
      </c>
    </row>
    <row r="413" spans="1:12" ht="60" x14ac:dyDescent="0.25">
      <c r="A413" s="77"/>
      <c r="B413" s="80"/>
      <c r="C413" s="80"/>
      <c r="D413" s="1"/>
      <c r="E413" s="28">
        <v>0</v>
      </c>
      <c r="F413" s="28">
        <v>0</v>
      </c>
      <c r="G413" s="28">
        <v>0</v>
      </c>
      <c r="H413" s="1" t="s">
        <v>690</v>
      </c>
      <c r="I413" s="2" t="s">
        <v>23</v>
      </c>
      <c r="J413" s="2">
        <v>30</v>
      </c>
      <c r="K413" s="2">
        <v>35</v>
      </c>
      <c r="L413" s="29">
        <v>40</v>
      </c>
    </row>
    <row r="414" spans="1:12" ht="60" x14ac:dyDescent="0.25">
      <c r="A414" s="77"/>
      <c r="B414" s="80"/>
      <c r="C414" s="80"/>
      <c r="D414" s="1"/>
      <c r="E414" s="28">
        <v>0</v>
      </c>
      <c r="F414" s="28">
        <v>0</v>
      </c>
      <c r="G414" s="28">
        <v>0</v>
      </c>
      <c r="H414" s="1" t="s">
        <v>726</v>
      </c>
      <c r="I414" s="2" t="s">
        <v>23</v>
      </c>
      <c r="J414" s="2">
        <v>7</v>
      </c>
      <c r="K414" s="2">
        <v>8</v>
      </c>
      <c r="L414" s="29">
        <v>9</v>
      </c>
    </row>
    <row r="415" spans="1:12" ht="45" x14ac:dyDescent="0.25">
      <c r="A415" s="77"/>
      <c r="B415" s="80"/>
      <c r="C415" s="80"/>
      <c r="D415" s="1"/>
      <c r="E415" s="28">
        <v>0</v>
      </c>
      <c r="F415" s="28">
        <v>0</v>
      </c>
      <c r="G415" s="28">
        <v>0</v>
      </c>
      <c r="H415" s="1" t="s">
        <v>727</v>
      </c>
      <c r="I415" s="2" t="s">
        <v>23</v>
      </c>
      <c r="J415" s="2">
        <v>6</v>
      </c>
      <c r="K415" s="2">
        <v>6</v>
      </c>
      <c r="L415" s="29">
        <v>6</v>
      </c>
    </row>
    <row r="416" spans="1:12" ht="45" x14ac:dyDescent="0.25">
      <c r="A416" s="77"/>
      <c r="B416" s="80"/>
      <c r="C416" s="80"/>
      <c r="D416" s="1"/>
      <c r="E416" s="28">
        <v>0</v>
      </c>
      <c r="F416" s="28">
        <v>0</v>
      </c>
      <c r="G416" s="28">
        <v>0</v>
      </c>
      <c r="H416" s="1" t="s">
        <v>728</v>
      </c>
      <c r="I416" s="2" t="s">
        <v>23</v>
      </c>
      <c r="J416" s="2">
        <v>1</v>
      </c>
      <c r="K416" s="2">
        <v>1</v>
      </c>
      <c r="L416" s="29">
        <v>1</v>
      </c>
    </row>
    <row r="417" spans="1:12" ht="39.75" customHeight="1" x14ac:dyDescent="0.25">
      <c r="A417" s="77"/>
      <c r="B417" s="80"/>
      <c r="C417" s="80"/>
      <c r="D417" s="1"/>
      <c r="E417" s="28">
        <v>0</v>
      </c>
      <c r="F417" s="28">
        <v>0</v>
      </c>
      <c r="G417" s="28">
        <v>0</v>
      </c>
      <c r="H417" s="1" t="s">
        <v>729</v>
      </c>
      <c r="I417" s="2" t="s">
        <v>23</v>
      </c>
      <c r="J417" s="2">
        <v>1</v>
      </c>
      <c r="K417" s="2">
        <v>1</v>
      </c>
      <c r="L417" s="29">
        <v>1</v>
      </c>
    </row>
    <row r="418" spans="1:12" ht="30" x14ac:dyDescent="0.25">
      <c r="A418" s="77"/>
      <c r="B418" s="80"/>
      <c r="C418" s="80"/>
      <c r="D418" s="1"/>
      <c r="E418" s="28">
        <v>0</v>
      </c>
      <c r="F418" s="28">
        <v>0</v>
      </c>
      <c r="G418" s="28">
        <v>0</v>
      </c>
      <c r="H418" s="1" t="s">
        <v>730</v>
      </c>
      <c r="I418" s="2" t="s">
        <v>23</v>
      </c>
      <c r="J418" s="2">
        <v>1</v>
      </c>
      <c r="K418" s="2">
        <v>1</v>
      </c>
      <c r="L418" s="29">
        <v>1</v>
      </c>
    </row>
    <row r="419" spans="1:12" ht="45.75" thickBot="1" x14ac:dyDescent="0.3">
      <c r="A419" s="78"/>
      <c r="B419" s="81"/>
      <c r="C419" s="81"/>
      <c r="D419" s="1"/>
      <c r="E419" s="28">
        <v>0</v>
      </c>
      <c r="F419" s="28">
        <v>0</v>
      </c>
      <c r="G419" s="28">
        <v>0</v>
      </c>
      <c r="H419" s="1" t="s">
        <v>731</v>
      </c>
      <c r="I419" s="2" t="s">
        <v>23</v>
      </c>
      <c r="J419" s="2">
        <v>2</v>
      </c>
      <c r="K419" s="2">
        <v>2</v>
      </c>
      <c r="L419" s="29">
        <v>2</v>
      </c>
    </row>
    <row r="420" spans="1:12" ht="45" x14ac:dyDescent="0.25">
      <c r="A420" s="76" t="s">
        <v>732</v>
      </c>
      <c r="B420" s="79" t="s">
        <v>733</v>
      </c>
      <c r="C420" s="79" t="s">
        <v>710</v>
      </c>
      <c r="D420" s="24" t="s">
        <v>44</v>
      </c>
      <c r="E420" s="25">
        <f>SUM(E421:E425)+64.2</f>
        <v>64.2</v>
      </c>
      <c r="F420" s="25">
        <f>SUM(F421:F425)+51.8</f>
        <v>51.8</v>
      </c>
      <c r="G420" s="25">
        <f>SUM(G421:G425)+55.9</f>
        <v>55.9</v>
      </c>
      <c r="H420" s="24" t="s">
        <v>734</v>
      </c>
      <c r="I420" s="26" t="s">
        <v>23</v>
      </c>
      <c r="J420" s="26">
        <v>1</v>
      </c>
      <c r="K420" s="26">
        <v>1</v>
      </c>
      <c r="L420" s="27">
        <v>1</v>
      </c>
    </row>
    <row r="421" spans="1:12" ht="14.25" customHeight="1" x14ac:dyDescent="0.25">
      <c r="A421" s="77"/>
      <c r="B421" s="80"/>
      <c r="C421" s="80"/>
      <c r="D421" s="1"/>
      <c r="E421" s="28">
        <v>0</v>
      </c>
      <c r="F421" s="28">
        <v>0</v>
      </c>
      <c r="G421" s="28">
        <v>0</v>
      </c>
      <c r="H421" s="1" t="s">
        <v>735</v>
      </c>
      <c r="I421" s="2" t="s">
        <v>23</v>
      </c>
      <c r="J421" s="2">
        <v>3</v>
      </c>
      <c r="K421" s="2">
        <v>3</v>
      </c>
      <c r="L421" s="29">
        <v>3</v>
      </c>
    </row>
    <row r="422" spans="1:12" ht="30" x14ac:dyDescent="0.25">
      <c r="A422" s="77"/>
      <c r="B422" s="80"/>
      <c r="C422" s="80"/>
      <c r="D422" s="1"/>
      <c r="E422" s="28">
        <v>0</v>
      </c>
      <c r="F422" s="28">
        <v>0</v>
      </c>
      <c r="G422" s="28">
        <v>0</v>
      </c>
      <c r="H422" s="1" t="s">
        <v>736</v>
      </c>
      <c r="I422" s="2" t="s">
        <v>23</v>
      </c>
      <c r="J422" s="2">
        <v>1</v>
      </c>
      <c r="K422" s="2">
        <v>1</v>
      </c>
      <c r="L422" s="29">
        <v>1</v>
      </c>
    </row>
    <row r="423" spans="1:12" x14ac:dyDescent="0.25">
      <c r="A423" s="77"/>
      <c r="B423" s="80"/>
      <c r="C423" s="80"/>
      <c r="D423" s="1"/>
      <c r="E423" s="28">
        <v>0</v>
      </c>
      <c r="F423" s="28">
        <v>0</v>
      </c>
      <c r="G423" s="28">
        <v>0</v>
      </c>
      <c r="H423" s="1" t="s">
        <v>737</v>
      </c>
      <c r="I423" s="2" t="s">
        <v>28</v>
      </c>
      <c r="J423" s="2">
        <v>40</v>
      </c>
      <c r="K423" s="2">
        <v>70</v>
      </c>
      <c r="L423" s="29">
        <v>100</v>
      </c>
    </row>
    <row r="424" spans="1:12" ht="60" x14ac:dyDescent="0.25">
      <c r="A424" s="77"/>
      <c r="B424" s="80"/>
      <c r="C424" s="80"/>
      <c r="D424" s="1"/>
      <c r="E424" s="28">
        <v>0</v>
      </c>
      <c r="F424" s="28">
        <v>0</v>
      </c>
      <c r="G424" s="28">
        <v>0</v>
      </c>
      <c r="H424" s="1" t="s">
        <v>738</v>
      </c>
      <c r="I424" s="2" t="s">
        <v>23</v>
      </c>
      <c r="J424" s="2">
        <v>1</v>
      </c>
      <c r="K424" s="2"/>
      <c r="L424" s="29"/>
    </row>
    <row r="425" spans="1:12" ht="30.75" thickBot="1" x14ac:dyDescent="0.3">
      <c r="A425" s="78"/>
      <c r="B425" s="81"/>
      <c r="C425" s="81"/>
      <c r="D425" s="1"/>
      <c r="E425" s="28">
        <v>0</v>
      </c>
      <c r="F425" s="28">
        <v>0</v>
      </c>
      <c r="G425" s="28">
        <v>0</v>
      </c>
      <c r="H425" s="1" t="s">
        <v>739</v>
      </c>
      <c r="I425" s="2" t="s">
        <v>23</v>
      </c>
      <c r="J425" s="2"/>
      <c r="K425" s="2">
        <v>1</v>
      </c>
      <c r="L425" s="29"/>
    </row>
    <row r="426" spans="1:12" ht="105.75" thickBot="1" x14ac:dyDescent="0.3">
      <c r="A426" s="30" t="s">
        <v>740</v>
      </c>
      <c r="B426" s="31" t="s">
        <v>741</v>
      </c>
      <c r="C426" s="24" t="s">
        <v>710</v>
      </c>
      <c r="D426" s="24" t="s">
        <v>44</v>
      </c>
      <c r="E426" s="32">
        <v>45</v>
      </c>
      <c r="F426" s="32">
        <v>0</v>
      </c>
      <c r="G426" s="32">
        <v>0</v>
      </c>
      <c r="H426" s="24" t="s">
        <v>742</v>
      </c>
      <c r="I426" s="26" t="s">
        <v>28</v>
      </c>
      <c r="J426" s="26">
        <v>100</v>
      </c>
      <c r="K426" s="26"/>
      <c r="L426" s="27"/>
    </row>
    <row r="427" spans="1:12" ht="30" x14ac:dyDescent="0.25">
      <c r="A427" s="68" t="s">
        <v>743</v>
      </c>
      <c r="B427" s="70" t="s">
        <v>744</v>
      </c>
      <c r="C427" s="71"/>
      <c r="D427" s="72"/>
      <c r="E427" s="15">
        <f>E428+E429+E430+E431+E434</f>
        <v>53</v>
      </c>
      <c r="F427" s="15">
        <f>F428+F429+F430+F431+F434</f>
        <v>55</v>
      </c>
      <c r="G427" s="15">
        <f>G428+G429+G430+G431+G434</f>
        <v>169</v>
      </c>
      <c r="H427" s="16" t="s">
        <v>745</v>
      </c>
      <c r="I427" s="17" t="s">
        <v>23</v>
      </c>
      <c r="J427" s="37">
        <v>362000</v>
      </c>
      <c r="K427" s="37">
        <v>373000</v>
      </c>
      <c r="L427" s="38">
        <v>384000</v>
      </c>
    </row>
    <row r="428" spans="1:12" ht="45" x14ac:dyDescent="0.25">
      <c r="A428" s="102"/>
      <c r="B428" s="103"/>
      <c r="C428" s="104"/>
      <c r="D428" s="105"/>
      <c r="E428" s="20">
        <v>0</v>
      </c>
      <c r="F428" s="20">
        <v>0</v>
      </c>
      <c r="G428" s="20">
        <v>0</v>
      </c>
      <c r="H428" s="21" t="s">
        <v>746</v>
      </c>
      <c r="I428" s="22" t="s">
        <v>23</v>
      </c>
      <c r="J428" s="39">
        <v>24200</v>
      </c>
      <c r="K428" s="39">
        <v>25700</v>
      </c>
      <c r="L428" s="40">
        <v>27200</v>
      </c>
    </row>
    <row r="429" spans="1:12" ht="30" x14ac:dyDescent="0.25">
      <c r="A429" s="102"/>
      <c r="B429" s="103"/>
      <c r="C429" s="104"/>
      <c r="D429" s="105"/>
      <c r="E429" s="20">
        <v>0</v>
      </c>
      <c r="F429" s="20">
        <v>0</v>
      </c>
      <c r="G429" s="20">
        <v>0</v>
      </c>
      <c r="H429" s="21" t="s">
        <v>747</v>
      </c>
      <c r="I429" s="22" t="s">
        <v>23</v>
      </c>
      <c r="J429" s="22">
        <v>622</v>
      </c>
      <c r="K429" s="22">
        <v>684</v>
      </c>
      <c r="L429" s="23">
        <v>746</v>
      </c>
    </row>
    <row r="430" spans="1:12" ht="45.75" thickBot="1" x14ac:dyDescent="0.3">
      <c r="A430" s="69"/>
      <c r="B430" s="73"/>
      <c r="C430" s="74"/>
      <c r="D430" s="75"/>
      <c r="E430" s="20">
        <v>0</v>
      </c>
      <c r="F430" s="20">
        <v>0</v>
      </c>
      <c r="G430" s="20">
        <v>0</v>
      </c>
      <c r="H430" s="21" t="s">
        <v>748</v>
      </c>
      <c r="I430" s="22" t="s">
        <v>28</v>
      </c>
      <c r="J430" s="22">
        <v>45</v>
      </c>
      <c r="K430" s="22"/>
      <c r="L430" s="23">
        <v>48</v>
      </c>
    </row>
    <row r="431" spans="1:12" ht="45" x14ac:dyDescent="0.25">
      <c r="A431" s="76" t="s">
        <v>749</v>
      </c>
      <c r="B431" s="79" t="s">
        <v>750</v>
      </c>
      <c r="C431" s="79" t="s">
        <v>751</v>
      </c>
      <c r="D431" s="24" t="s">
        <v>44</v>
      </c>
      <c r="E431" s="25">
        <f>SUM(E432:E433)+5</f>
        <v>5</v>
      </c>
      <c r="F431" s="25">
        <f>SUM(F432:F433)+7</f>
        <v>7</v>
      </c>
      <c r="G431" s="25">
        <f>SUM(G432:G433)+9</f>
        <v>9</v>
      </c>
      <c r="H431" s="24" t="s">
        <v>752</v>
      </c>
      <c r="I431" s="26" t="s">
        <v>23</v>
      </c>
      <c r="J431" s="26">
        <v>3</v>
      </c>
      <c r="K431" s="26">
        <v>4</v>
      </c>
      <c r="L431" s="27">
        <v>5</v>
      </c>
    </row>
    <row r="432" spans="1:12" ht="45" x14ac:dyDescent="0.25">
      <c r="A432" s="77"/>
      <c r="B432" s="80"/>
      <c r="C432" s="80"/>
      <c r="D432" s="1"/>
      <c r="E432" s="28">
        <v>0</v>
      </c>
      <c r="F432" s="28">
        <v>0</v>
      </c>
      <c r="G432" s="28">
        <v>0</v>
      </c>
      <c r="H432" s="1" t="s">
        <v>753</v>
      </c>
      <c r="I432" s="2" t="s">
        <v>23</v>
      </c>
      <c r="J432" s="2"/>
      <c r="K432" s="2">
        <v>1</v>
      </c>
      <c r="L432" s="29">
        <v>1</v>
      </c>
    </row>
    <row r="433" spans="1:12" ht="30.75" thickBot="1" x14ac:dyDescent="0.3">
      <c r="A433" s="78"/>
      <c r="B433" s="81"/>
      <c r="C433" s="81"/>
      <c r="D433" s="1"/>
      <c r="E433" s="28">
        <v>0</v>
      </c>
      <c r="F433" s="28">
        <v>0</v>
      </c>
      <c r="G433" s="28">
        <v>0</v>
      </c>
      <c r="H433" s="1" t="s">
        <v>754</v>
      </c>
      <c r="I433" s="2" t="s">
        <v>23</v>
      </c>
      <c r="J433" s="2"/>
      <c r="K433" s="2">
        <v>1</v>
      </c>
      <c r="L433" s="29">
        <v>1</v>
      </c>
    </row>
    <row r="434" spans="1:12" ht="45" x14ac:dyDescent="0.25">
      <c r="A434" s="76" t="s">
        <v>755</v>
      </c>
      <c r="B434" s="79" t="s">
        <v>756</v>
      </c>
      <c r="C434" s="79" t="s">
        <v>757</v>
      </c>
      <c r="D434" s="24" t="s">
        <v>44</v>
      </c>
      <c r="E434" s="25">
        <f>SUM(E435:E440)+48</f>
        <v>48</v>
      </c>
      <c r="F434" s="25">
        <f>SUM(F435:F440)+48</f>
        <v>48</v>
      </c>
      <c r="G434" s="25">
        <f>SUM(G435:G440)+160</f>
        <v>160</v>
      </c>
      <c r="H434" s="24" t="s">
        <v>758</v>
      </c>
      <c r="I434" s="26" t="s">
        <v>23</v>
      </c>
      <c r="J434" s="26">
        <v>9</v>
      </c>
      <c r="K434" s="26">
        <v>9</v>
      </c>
      <c r="L434" s="27">
        <v>9</v>
      </c>
    </row>
    <row r="435" spans="1:12" ht="15.75" customHeight="1" x14ac:dyDescent="0.25">
      <c r="A435" s="77"/>
      <c r="B435" s="80"/>
      <c r="C435" s="80"/>
      <c r="D435" s="1"/>
      <c r="E435" s="28">
        <v>0</v>
      </c>
      <c r="F435" s="28">
        <v>0</v>
      </c>
      <c r="G435" s="28">
        <v>0</v>
      </c>
      <c r="H435" s="1" t="s">
        <v>759</v>
      </c>
      <c r="I435" s="2" t="s">
        <v>28</v>
      </c>
      <c r="J435" s="2">
        <v>100</v>
      </c>
      <c r="K435" s="2">
        <v>100</v>
      </c>
      <c r="L435" s="29">
        <v>100</v>
      </c>
    </row>
    <row r="436" spans="1:12" ht="45" x14ac:dyDescent="0.25">
      <c r="A436" s="77"/>
      <c r="B436" s="80"/>
      <c r="C436" s="80"/>
      <c r="D436" s="1"/>
      <c r="E436" s="28">
        <v>0</v>
      </c>
      <c r="F436" s="28">
        <v>0</v>
      </c>
      <c r="G436" s="28">
        <v>0</v>
      </c>
      <c r="H436" s="1" t="s">
        <v>760</v>
      </c>
      <c r="I436" s="2" t="s">
        <v>23</v>
      </c>
      <c r="J436" s="2">
        <v>70</v>
      </c>
      <c r="K436" s="2">
        <v>75</v>
      </c>
      <c r="L436" s="29">
        <v>80</v>
      </c>
    </row>
    <row r="437" spans="1:12" x14ac:dyDescent="0.25">
      <c r="A437" s="77"/>
      <c r="B437" s="80"/>
      <c r="C437" s="80"/>
      <c r="D437" s="1"/>
      <c r="E437" s="28">
        <v>0</v>
      </c>
      <c r="F437" s="28">
        <v>0</v>
      </c>
      <c r="G437" s="28">
        <v>0</v>
      </c>
      <c r="H437" s="1" t="s">
        <v>761</v>
      </c>
      <c r="I437" s="2" t="s">
        <v>23</v>
      </c>
      <c r="J437" s="2">
        <v>2</v>
      </c>
      <c r="K437" s="2">
        <v>2</v>
      </c>
      <c r="L437" s="29">
        <v>2</v>
      </c>
    </row>
    <row r="438" spans="1:12" ht="45" x14ac:dyDescent="0.25">
      <c r="A438" s="77"/>
      <c r="B438" s="80"/>
      <c r="C438" s="80"/>
      <c r="D438" s="1"/>
      <c r="E438" s="28">
        <v>0</v>
      </c>
      <c r="F438" s="28">
        <v>0</v>
      </c>
      <c r="G438" s="28">
        <v>0</v>
      </c>
      <c r="H438" s="1" t="s">
        <v>762</v>
      </c>
      <c r="I438" s="2" t="s">
        <v>23</v>
      </c>
      <c r="J438" s="2"/>
      <c r="K438" s="2">
        <v>1</v>
      </c>
      <c r="L438" s="29"/>
    </row>
    <row r="439" spans="1:12" ht="30" x14ac:dyDescent="0.25">
      <c r="A439" s="77"/>
      <c r="B439" s="80"/>
      <c r="C439" s="80"/>
      <c r="D439" s="1"/>
      <c r="E439" s="28">
        <v>0</v>
      </c>
      <c r="F439" s="28">
        <v>0</v>
      </c>
      <c r="G439" s="28">
        <v>0</v>
      </c>
      <c r="H439" s="1" t="s">
        <v>763</v>
      </c>
      <c r="I439" s="2" t="s">
        <v>23</v>
      </c>
      <c r="J439" s="2"/>
      <c r="K439" s="2"/>
      <c r="L439" s="29">
        <v>1</v>
      </c>
    </row>
    <row r="440" spans="1:12" ht="30.75" thickBot="1" x14ac:dyDescent="0.3">
      <c r="A440" s="78"/>
      <c r="B440" s="81"/>
      <c r="C440" s="81"/>
      <c r="D440" s="1"/>
      <c r="E440" s="28">
        <v>0</v>
      </c>
      <c r="F440" s="28">
        <v>0</v>
      </c>
      <c r="G440" s="28">
        <v>0</v>
      </c>
      <c r="H440" s="1" t="s">
        <v>764</v>
      </c>
      <c r="I440" s="2" t="s">
        <v>23</v>
      </c>
      <c r="J440" s="2"/>
      <c r="K440" s="2"/>
      <c r="L440" s="29">
        <v>1</v>
      </c>
    </row>
    <row r="441" spans="1:12" ht="26.25" customHeight="1" thickBot="1" x14ac:dyDescent="0.3">
      <c r="A441" s="12" t="s">
        <v>765</v>
      </c>
      <c r="B441" s="13" t="s">
        <v>766</v>
      </c>
      <c r="C441" s="66" t="s">
        <v>767</v>
      </c>
      <c r="D441" s="67"/>
      <c r="E441" s="14">
        <f>E442+E501+E515</f>
        <v>79042.100000000006</v>
      </c>
      <c r="F441" s="14">
        <f>F442+F501+F515</f>
        <v>78998.5</v>
      </c>
      <c r="G441" s="14">
        <f>G442+G501+G515</f>
        <v>80698.100000000006</v>
      </c>
      <c r="H441" s="93"/>
      <c r="I441" s="94"/>
      <c r="J441" s="94"/>
      <c r="K441" s="94"/>
      <c r="L441" s="95"/>
    </row>
    <row r="442" spans="1:12" ht="45.75" thickBot="1" x14ac:dyDescent="0.3">
      <c r="A442" s="33" t="s">
        <v>768</v>
      </c>
      <c r="B442" s="96" t="s">
        <v>769</v>
      </c>
      <c r="C442" s="97"/>
      <c r="D442" s="98"/>
      <c r="E442" s="15">
        <f>E443+E452+E456+E463+E467+E470+E482+E489+E491+E493+E494+E497</f>
        <v>20856.900000000001</v>
      </c>
      <c r="F442" s="15">
        <f>F443+F452+F456+F463+F467+F470+F482+F489+F491+F493+F494+F497</f>
        <v>20989.3</v>
      </c>
      <c r="G442" s="15">
        <f>G443+G452+G456+G463+G467+G470+G482+G489+G491+G493+G494+G497</f>
        <v>21999.599999999999</v>
      </c>
      <c r="H442" s="16" t="s">
        <v>770</v>
      </c>
      <c r="I442" s="17" t="s">
        <v>23</v>
      </c>
      <c r="J442" s="17">
        <v>28</v>
      </c>
      <c r="K442" s="17">
        <v>29</v>
      </c>
      <c r="L442" s="34">
        <v>29</v>
      </c>
    </row>
    <row r="443" spans="1:12" ht="30" x14ac:dyDescent="0.25">
      <c r="A443" s="76" t="s">
        <v>771</v>
      </c>
      <c r="B443" s="79" t="s">
        <v>772</v>
      </c>
      <c r="C443" s="79" t="s">
        <v>773</v>
      </c>
      <c r="D443" s="24"/>
      <c r="E443" s="25">
        <f>SUM(E444:E451)</f>
        <v>10399.199999999999</v>
      </c>
      <c r="F443" s="25">
        <f>SUM(F444:F451)</f>
        <v>10447</v>
      </c>
      <c r="G443" s="25">
        <f>SUM(G444:G451)</f>
        <v>10621.599999999999</v>
      </c>
      <c r="H443" s="24" t="s">
        <v>774</v>
      </c>
      <c r="I443" s="26" t="s">
        <v>23</v>
      </c>
      <c r="J443" s="26">
        <v>25</v>
      </c>
      <c r="K443" s="26">
        <v>25</v>
      </c>
      <c r="L443" s="27">
        <v>25</v>
      </c>
    </row>
    <row r="444" spans="1:12" ht="30" x14ac:dyDescent="0.25">
      <c r="A444" s="77"/>
      <c r="B444" s="80"/>
      <c r="C444" s="80"/>
      <c r="D444" s="1" t="s">
        <v>29</v>
      </c>
      <c r="E444" s="28">
        <v>125.9</v>
      </c>
      <c r="F444" s="28">
        <v>0</v>
      </c>
      <c r="G444" s="28">
        <v>0</v>
      </c>
      <c r="H444" s="1" t="s">
        <v>775</v>
      </c>
      <c r="I444" s="2" t="s">
        <v>104</v>
      </c>
      <c r="J444" s="35">
        <v>25000</v>
      </c>
      <c r="K444" s="35">
        <v>25800</v>
      </c>
      <c r="L444" s="36">
        <v>26600</v>
      </c>
    </row>
    <row r="445" spans="1:12" ht="30" x14ac:dyDescent="0.25">
      <c r="A445" s="77"/>
      <c r="B445" s="80"/>
      <c r="C445" s="80"/>
      <c r="D445" s="1" t="s">
        <v>31</v>
      </c>
      <c r="E445" s="28">
        <v>503.7</v>
      </c>
      <c r="F445" s="28">
        <v>503.7</v>
      </c>
      <c r="G445" s="28">
        <v>503.7</v>
      </c>
      <c r="H445" s="1" t="s">
        <v>776</v>
      </c>
      <c r="I445" s="2" t="s">
        <v>23</v>
      </c>
      <c r="J445" s="2">
        <v>14</v>
      </c>
      <c r="K445" s="2">
        <v>14</v>
      </c>
      <c r="L445" s="29">
        <v>14</v>
      </c>
    </row>
    <row r="446" spans="1:12" x14ac:dyDescent="0.25">
      <c r="A446" s="77"/>
      <c r="B446" s="80"/>
      <c r="C446" s="80"/>
      <c r="D446" s="1" t="s">
        <v>116</v>
      </c>
      <c r="E446" s="28">
        <v>1001.9</v>
      </c>
      <c r="F446" s="28">
        <v>1006</v>
      </c>
      <c r="G446" s="28">
        <v>1006.2</v>
      </c>
      <c r="H446" s="1" t="s">
        <v>777</v>
      </c>
      <c r="I446" s="2" t="s">
        <v>104</v>
      </c>
      <c r="J446" s="2">
        <v>510</v>
      </c>
      <c r="K446" s="2">
        <v>515</v>
      </c>
      <c r="L446" s="29">
        <v>520</v>
      </c>
    </row>
    <row r="447" spans="1:12" ht="30" x14ac:dyDescent="0.25">
      <c r="A447" s="77"/>
      <c r="B447" s="80"/>
      <c r="C447" s="80"/>
      <c r="D447" s="1" t="s">
        <v>291</v>
      </c>
      <c r="E447" s="28">
        <v>35.6</v>
      </c>
      <c r="F447" s="28">
        <v>35.6</v>
      </c>
      <c r="G447" s="28">
        <v>35.6</v>
      </c>
      <c r="H447" s="1" t="s">
        <v>778</v>
      </c>
      <c r="I447" s="2" t="s">
        <v>23</v>
      </c>
      <c r="J447" s="2">
        <v>6</v>
      </c>
      <c r="K447" s="2">
        <v>6</v>
      </c>
      <c r="L447" s="29">
        <v>6</v>
      </c>
    </row>
    <row r="448" spans="1:12" ht="30" x14ac:dyDescent="0.25">
      <c r="A448" s="77"/>
      <c r="B448" s="80"/>
      <c r="C448" s="80"/>
      <c r="D448" s="1" t="s">
        <v>144</v>
      </c>
      <c r="E448" s="28">
        <v>50.7</v>
      </c>
      <c r="F448" s="28">
        <v>52</v>
      </c>
      <c r="G448" s="28">
        <v>53.5</v>
      </c>
      <c r="H448" s="1" t="s">
        <v>779</v>
      </c>
      <c r="I448" s="2" t="s">
        <v>104</v>
      </c>
      <c r="J448" s="2">
        <v>115</v>
      </c>
      <c r="K448" s="2">
        <v>120</v>
      </c>
      <c r="L448" s="29">
        <v>130</v>
      </c>
    </row>
    <row r="449" spans="1:12" x14ac:dyDescent="0.25">
      <c r="A449" s="77"/>
      <c r="B449" s="80"/>
      <c r="C449" s="80"/>
      <c r="D449" s="1" t="s">
        <v>162</v>
      </c>
      <c r="E449" s="28">
        <v>1058.7</v>
      </c>
      <c r="F449" s="28">
        <v>1058.7</v>
      </c>
      <c r="G449" s="28">
        <v>1058.7</v>
      </c>
      <c r="H449" s="1" t="s">
        <v>780</v>
      </c>
      <c r="I449" s="2" t="s">
        <v>23</v>
      </c>
      <c r="J449" s="2">
        <v>5</v>
      </c>
      <c r="K449" s="2">
        <v>5</v>
      </c>
      <c r="L449" s="29">
        <v>5</v>
      </c>
    </row>
    <row r="450" spans="1:12" x14ac:dyDescent="0.25">
      <c r="A450" s="77"/>
      <c r="B450" s="80"/>
      <c r="C450" s="80"/>
      <c r="D450" s="1" t="s">
        <v>44</v>
      </c>
      <c r="E450" s="28">
        <v>7235.9</v>
      </c>
      <c r="F450" s="28">
        <v>7404.2</v>
      </c>
      <c r="G450" s="28">
        <v>7577.1</v>
      </c>
      <c r="H450" s="1" t="s">
        <v>781</v>
      </c>
      <c r="I450" s="2" t="s">
        <v>104</v>
      </c>
      <c r="J450" s="2">
        <v>510</v>
      </c>
      <c r="K450" s="2">
        <v>510</v>
      </c>
      <c r="L450" s="29">
        <v>510</v>
      </c>
    </row>
    <row r="451" spans="1:12" ht="15.75" thickBot="1" x14ac:dyDescent="0.3">
      <c r="A451" s="78"/>
      <c r="B451" s="81"/>
      <c r="C451" s="81"/>
      <c r="D451" s="1" t="s">
        <v>294</v>
      </c>
      <c r="E451" s="28">
        <v>386.8</v>
      </c>
      <c r="F451" s="28">
        <v>386.8</v>
      </c>
      <c r="G451" s="28">
        <v>386.8</v>
      </c>
      <c r="H451" s="1" t="s">
        <v>782</v>
      </c>
      <c r="I451" s="2" t="s">
        <v>23</v>
      </c>
      <c r="J451" s="2">
        <v>8</v>
      </c>
      <c r="K451" s="2">
        <v>8</v>
      </c>
      <c r="L451" s="29">
        <v>8</v>
      </c>
    </row>
    <row r="452" spans="1:12" ht="24.75" customHeight="1" x14ac:dyDescent="0.25">
      <c r="A452" s="76" t="s">
        <v>783</v>
      </c>
      <c r="B452" s="79" t="s">
        <v>784</v>
      </c>
      <c r="C452" s="79" t="s">
        <v>773</v>
      </c>
      <c r="D452" s="24"/>
      <c r="E452" s="25">
        <f>SUM(E453:E455)</f>
        <v>1007.1</v>
      </c>
      <c r="F452" s="25">
        <f>SUM(F453:F455)</f>
        <v>1080</v>
      </c>
      <c r="G452" s="25">
        <f>SUM(G453:G455)</f>
        <v>1162</v>
      </c>
      <c r="H452" s="24" t="s">
        <v>785</v>
      </c>
      <c r="I452" s="26" t="s">
        <v>104</v>
      </c>
      <c r="J452" s="26">
        <v>12</v>
      </c>
      <c r="K452" s="26">
        <v>12</v>
      </c>
      <c r="L452" s="27">
        <v>12</v>
      </c>
    </row>
    <row r="453" spans="1:12" x14ac:dyDescent="0.25">
      <c r="A453" s="77"/>
      <c r="B453" s="80"/>
      <c r="C453" s="80"/>
      <c r="D453" s="1" t="s">
        <v>294</v>
      </c>
      <c r="E453" s="28">
        <v>192.6</v>
      </c>
      <c r="F453" s="28">
        <v>133</v>
      </c>
      <c r="G453" s="28">
        <v>133</v>
      </c>
      <c r="H453" s="1" t="s">
        <v>786</v>
      </c>
      <c r="I453" s="2" t="s">
        <v>23</v>
      </c>
      <c r="J453" s="2">
        <v>2</v>
      </c>
      <c r="K453" s="2">
        <v>2</v>
      </c>
      <c r="L453" s="29">
        <v>2</v>
      </c>
    </row>
    <row r="454" spans="1:12" ht="23.25" customHeight="1" x14ac:dyDescent="0.25">
      <c r="A454" s="77"/>
      <c r="B454" s="80"/>
      <c r="C454" s="80"/>
      <c r="D454" s="1" t="s">
        <v>29</v>
      </c>
      <c r="E454" s="28">
        <v>18</v>
      </c>
      <c r="F454" s="28">
        <v>0</v>
      </c>
      <c r="G454" s="28">
        <v>0</v>
      </c>
      <c r="H454" s="1" t="s">
        <v>787</v>
      </c>
      <c r="I454" s="2" t="s">
        <v>104</v>
      </c>
      <c r="J454" s="2">
        <v>25</v>
      </c>
      <c r="K454" s="2">
        <v>28</v>
      </c>
      <c r="L454" s="29">
        <v>30</v>
      </c>
    </row>
    <row r="455" spans="1:12" ht="15.75" thickBot="1" x14ac:dyDescent="0.3">
      <c r="A455" s="78"/>
      <c r="B455" s="81"/>
      <c r="C455" s="81"/>
      <c r="D455" s="1" t="s">
        <v>44</v>
      </c>
      <c r="E455" s="28">
        <v>796.5</v>
      </c>
      <c r="F455" s="28">
        <v>947</v>
      </c>
      <c r="G455" s="28">
        <v>1029</v>
      </c>
      <c r="H455" s="1" t="s">
        <v>788</v>
      </c>
      <c r="I455" s="2" t="s">
        <v>104</v>
      </c>
      <c r="J455" s="2">
        <v>150</v>
      </c>
      <c r="K455" s="2">
        <v>153</v>
      </c>
      <c r="L455" s="29">
        <v>155</v>
      </c>
    </row>
    <row r="456" spans="1:12" x14ac:dyDescent="0.25">
      <c r="A456" s="76" t="s">
        <v>789</v>
      </c>
      <c r="B456" s="79" t="s">
        <v>790</v>
      </c>
      <c r="C456" s="79" t="s">
        <v>193</v>
      </c>
      <c r="D456" s="24"/>
      <c r="E456" s="25">
        <f>SUM(E457:E462)</f>
        <v>5119.3</v>
      </c>
      <c r="F456" s="25">
        <f>SUM(F457:F462)</f>
        <v>5093.3</v>
      </c>
      <c r="G456" s="25">
        <f>SUM(G457:G462)</f>
        <v>5532.3</v>
      </c>
      <c r="H456" s="24" t="s">
        <v>791</v>
      </c>
      <c r="I456" s="26" t="s">
        <v>23</v>
      </c>
      <c r="J456" s="26">
        <v>5</v>
      </c>
      <c r="K456" s="26">
        <v>5</v>
      </c>
      <c r="L456" s="27">
        <v>5</v>
      </c>
    </row>
    <row r="457" spans="1:12" ht="30" x14ac:dyDescent="0.25">
      <c r="A457" s="77"/>
      <c r="B457" s="80"/>
      <c r="C457" s="80"/>
      <c r="D457" s="1" t="s">
        <v>31</v>
      </c>
      <c r="E457" s="28">
        <v>124.1</v>
      </c>
      <c r="F457" s="28">
        <v>124.1</v>
      </c>
      <c r="G457" s="28">
        <v>124.1</v>
      </c>
      <c r="H457" s="1" t="s">
        <v>792</v>
      </c>
      <c r="I457" s="2" t="s">
        <v>104</v>
      </c>
      <c r="J457" s="2">
        <v>67</v>
      </c>
      <c r="K457" s="2">
        <v>97</v>
      </c>
      <c r="L457" s="29">
        <v>126</v>
      </c>
    </row>
    <row r="458" spans="1:12" ht="30" x14ac:dyDescent="0.25">
      <c r="A458" s="77"/>
      <c r="B458" s="80"/>
      <c r="C458" s="80"/>
      <c r="D458" s="1" t="s">
        <v>162</v>
      </c>
      <c r="E458" s="28">
        <v>4008.2</v>
      </c>
      <c r="F458" s="28">
        <v>4008.2</v>
      </c>
      <c r="G458" s="28">
        <v>4008.2</v>
      </c>
      <c r="H458" s="1" t="s">
        <v>793</v>
      </c>
      <c r="I458" s="2" t="s">
        <v>104</v>
      </c>
      <c r="J458" s="2">
        <v>115</v>
      </c>
      <c r="K458" s="2">
        <v>135</v>
      </c>
      <c r="L458" s="29">
        <v>155</v>
      </c>
    </row>
    <row r="459" spans="1:12" ht="30" x14ac:dyDescent="0.25">
      <c r="A459" s="77"/>
      <c r="B459" s="80"/>
      <c r="C459" s="80"/>
      <c r="D459" s="1" t="s">
        <v>44</v>
      </c>
      <c r="E459" s="28">
        <v>0</v>
      </c>
      <c r="F459" s="28">
        <v>0</v>
      </c>
      <c r="G459" s="28">
        <v>0</v>
      </c>
      <c r="H459" s="1" t="s">
        <v>794</v>
      </c>
      <c r="I459" s="2" t="s">
        <v>104</v>
      </c>
      <c r="J459" s="2">
        <v>350</v>
      </c>
      <c r="K459" s="2">
        <v>360</v>
      </c>
      <c r="L459" s="29">
        <v>370</v>
      </c>
    </row>
    <row r="460" spans="1:12" ht="30" x14ac:dyDescent="0.25">
      <c r="A460" s="77"/>
      <c r="B460" s="80"/>
      <c r="C460" s="80"/>
      <c r="D460" s="1"/>
      <c r="E460" s="28">
        <v>0</v>
      </c>
      <c r="F460" s="28">
        <v>0</v>
      </c>
      <c r="G460" s="28">
        <v>0</v>
      </c>
      <c r="H460" s="1" t="s">
        <v>795</v>
      </c>
      <c r="I460" s="2" t="s">
        <v>104</v>
      </c>
      <c r="J460" s="2">
        <v>106</v>
      </c>
      <c r="K460" s="2">
        <v>110</v>
      </c>
      <c r="L460" s="29">
        <v>115</v>
      </c>
    </row>
    <row r="461" spans="1:12" ht="38.25" customHeight="1" x14ac:dyDescent="0.25">
      <c r="A461" s="77"/>
      <c r="B461" s="80"/>
      <c r="C461" s="80"/>
      <c r="D461" s="1"/>
      <c r="E461" s="28">
        <v>0</v>
      </c>
      <c r="F461" s="28">
        <v>0</v>
      </c>
      <c r="G461" s="28">
        <v>0</v>
      </c>
      <c r="H461" s="106" t="s">
        <v>796</v>
      </c>
      <c r="I461" s="107" t="s">
        <v>104</v>
      </c>
      <c r="J461" s="107">
        <v>500</v>
      </c>
      <c r="K461" s="107">
        <v>520</v>
      </c>
      <c r="L461" s="108">
        <v>530</v>
      </c>
    </row>
    <row r="462" spans="1:12" ht="15.75" thickBot="1" x14ac:dyDescent="0.3">
      <c r="A462" s="78"/>
      <c r="B462" s="81"/>
      <c r="C462" s="81"/>
      <c r="D462" s="1" t="s">
        <v>29</v>
      </c>
      <c r="E462" s="28">
        <v>987</v>
      </c>
      <c r="F462" s="28">
        <v>961</v>
      </c>
      <c r="G462" s="28">
        <v>1400</v>
      </c>
      <c r="H462" s="81"/>
      <c r="I462" s="101"/>
      <c r="J462" s="101"/>
      <c r="K462" s="101"/>
      <c r="L462" s="109"/>
    </row>
    <row r="463" spans="1:12" ht="60" x14ac:dyDescent="0.25">
      <c r="A463" s="76" t="s">
        <v>797</v>
      </c>
      <c r="B463" s="79" t="s">
        <v>798</v>
      </c>
      <c r="C463" s="79" t="s">
        <v>799</v>
      </c>
      <c r="D463" s="24"/>
      <c r="E463" s="25">
        <f>SUM(E464:E466)</f>
        <v>316</v>
      </c>
      <c r="F463" s="25">
        <f>SUM(F464:F466)</f>
        <v>332.5</v>
      </c>
      <c r="G463" s="25">
        <f>SUM(G464:G466)</f>
        <v>332.5</v>
      </c>
      <c r="H463" s="24" t="s">
        <v>800</v>
      </c>
      <c r="I463" s="26" t="s">
        <v>28</v>
      </c>
      <c r="J463" s="26">
        <v>13</v>
      </c>
      <c r="K463" s="26">
        <v>14</v>
      </c>
      <c r="L463" s="27">
        <v>15</v>
      </c>
    </row>
    <row r="464" spans="1:12" ht="60" x14ac:dyDescent="0.25">
      <c r="A464" s="77"/>
      <c r="B464" s="80"/>
      <c r="C464" s="80"/>
      <c r="D464" s="1" t="s">
        <v>162</v>
      </c>
      <c r="E464" s="28">
        <v>282.5</v>
      </c>
      <c r="F464" s="28">
        <v>282.5</v>
      </c>
      <c r="G464" s="28">
        <v>282.5</v>
      </c>
      <c r="H464" s="1" t="s">
        <v>801</v>
      </c>
      <c r="I464" s="2" t="s">
        <v>23</v>
      </c>
      <c r="J464" s="35">
        <v>2452</v>
      </c>
      <c r="K464" s="35">
        <v>2480</v>
      </c>
      <c r="L464" s="36">
        <v>2500</v>
      </c>
    </row>
    <row r="465" spans="1:12" ht="60" x14ac:dyDescent="0.25">
      <c r="A465" s="77"/>
      <c r="B465" s="80"/>
      <c r="C465" s="80"/>
      <c r="D465" s="1" t="s">
        <v>44</v>
      </c>
      <c r="E465" s="28">
        <v>33.5</v>
      </c>
      <c r="F465" s="28">
        <v>50</v>
      </c>
      <c r="G465" s="28">
        <v>50</v>
      </c>
      <c r="H465" s="1" t="s">
        <v>802</v>
      </c>
      <c r="I465" s="2" t="s">
        <v>104</v>
      </c>
      <c r="J465" s="2">
        <v>15</v>
      </c>
      <c r="K465" s="2">
        <v>20</v>
      </c>
      <c r="L465" s="29">
        <v>20</v>
      </c>
    </row>
    <row r="466" spans="1:12" ht="45.75" thickBot="1" x14ac:dyDescent="0.3">
      <c r="A466" s="78"/>
      <c r="B466" s="81"/>
      <c r="C466" s="81"/>
      <c r="D466" s="1"/>
      <c r="E466" s="28">
        <v>0</v>
      </c>
      <c r="F466" s="28">
        <v>0</v>
      </c>
      <c r="G466" s="28">
        <v>0</v>
      </c>
      <c r="H466" s="1" t="s">
        <v>803</v>
      </c>
      <c r="I466" s="2" t="s">
        <v>104</v>
      </c>
      <c r="J466" s="2">
        <v>30</v>
      </c>
      <c r="K466" s="2">
        <v>40</v>
      </c>
      <c r="L466" s="29">
        <v>50</v>
      </c>
    </row>
    <row r="467" spans="1:12" ht="25.5" customHeight="1" x14ac:dyDescent="0.25">
      <c r="A467" s="76" t="s">
        <v>804</v>
      </c>
      <c r="B467" s="79" t="s">
        <v>805</v>
      </c>
      <c r="C467" s="79" t="s">
        <v>806</v>
      </c>
      <c r="D467" s="24"/>
      <c r="E467" s="25">
        <f>SUM(E468:E469)</f>
        <v>407.9</v>
      </c>
      <c r="F467" s="25">
        <f>SUM(F468:F469)</f>
        <v>476.2</v>
      </c>
      <c r="G467" s="25">
        <f>SUM(G468:G469)</f>
        <v>476.2</v>
      </c>
      <c r="H467" s="79" t="s">
        <v>807</v>
      </c>
      <c r="I467" s="99" t="s">
        <v>28</v>
      </c>
      <c r="J467" s="99">
        <v>75</v>
      </c>
      <c r="K467" s="99">
        <v>80</v>
      </c>
      <c r="L467" s="111">
        <v>80</v>
      </c>
    </row>
    <row r="468" spans="1:12" x14ac:dyDescent="0.25">
      <c r="A468" s="77"/>
      <c r="B468" s="80"/>
      <c r="C468" s="80"/>
      <c r="D468" s="1" t="s">
        <v>44</v>
      </c>
      <c r="E468" s="28">
        <v>121</v>
      </c>
      <c r="F468" s="28">
        <v>185</v>
      </c>
      <c r="G468" s="28">
        <v>185</v>
      </c>
      <c r="H468" s="80"/>
      <c r="I468" s="100"/>
      <c r="J468" s="100"/>
      <c r="K468" s="100"/>
      <c r="L468" s="110"/>
    </row>
    <row r="469" spans="1:12" ht="15.75" thickBot="1" x14ac:dyDescent="0.3">
      <c r="A469" s="78"/>
      <c r="B469" s="81"/>
      <c r="C469" s="81"/>
      <c r="D469" s="1" t="s">
        <v>31</v>
      </c>
      <c r="E469" s="28">
        <v>286.89999999999998</v>
      </c>
      <c r="F469" s="28">
        <v>291.2</v>
      </c>
      <c r="G469" s="28">
        <v>291.2</v>
      </c>
      <c r="H469" s="81"/>
      <c r="I469" s="101"/>
      <c r="J469" s="101"/>
      <c r="K469" s="101"/>
      <c r="L469" s="109"/>
    </row>
    <row r="470" spans="1:12" x14ac:dyDescent="0.25">
      <c r="A470" s="76" t="s">
        <v>808</v>
      </c>
      <c r="B470" s="79" t="s">
        <v>809</v>
      </c>
      <c r="C470" s="79" t="s">
        <v>193</v>
      </c>
      <c r="D470" s="24"/>
      <c r="E470" s="25">
        <f>SUM(E471:E481)</f>
        <v>1826.3</v>
      </c>
      <c r="F470" s="25">
        <f>SUM(F471:F481)</f>
        <v>1819.6</v>
      </c>
      <c r="G470" s="25">
        <f>SUM(G471:G481)</f>
        <v>2039.5</v>
      </c>
      <c r="H470" s="24" t="s">
        <v>791</v>
      </c>
      <c r="I470" s="26" t="s">
        <v>23</v>
      </c>
      <c r="J470" s="26">
        <v>11</v>
      </c>
      <c r="K470" s="26">
        <v>11</v>
      </c>
      <c r="L470" s="27">
        <v>11</v>
      </c>
    </row>
    <row r="471" spans="1:12" ht="45" x14ac:dyDescent="0.25">
      <c r="A471" s="77"/>
      <c r="B471" s="80"/>
      <c r="C471" s="80"/>
      <c r="D471" s="1" t="s">
        <v>29</v>
      </c>
      <c r="E471" s="28">
        <v>6.7</v>
      </c>
      <c r="F471" s="28">
        <v>0</v>
      </c>
      <c r="G471" s="28">
        <v>0</v>
      </c>
      <c r="H471" s="1" t="s">
        <v>810</v>
      </c>
      <c r="I471" s="2" t="s">
        <v>28</v>
      </c>
      <c r="J471" s="2">
        <v>100</v>
      </c>
      <c r="K471" s="2">
        <v>100</v>
      </c>
      <c r="L471" s="29">
        <v>100</v>
      </c>
    </row>
    <row r="472" spans="1:12" ht="30" x14ac:dyDescent="0.25">
      <c r="A472" s="77"/>
      <c r="B472" s="80"/>
      <c r="C472" s="80"/>
      <c r="D472" s="1" t="s">
        <v>31</v>
      </c>
      <c r="E472" s="28">
        <v>643.79999999999995</v>
      </c>
      <c r="F472" s="28">
        <v>643.79999999999995</v>
      </c>
      <c r="G472" s="28">
        <v>643.79999999999995</v>
      </c>
      <c r="H472" s="1" t="s">
        <v>811</v>
      </c>
      <c r="I472" s="2" t="s">
        <v>28</v>
      </c>
      <c r="J472" s="2">
        <v>100</v>
      </c>
      <c r="K472" s="2">
        <v>100</v>
      </c>
      <c r="L472" s="29">
        <v>100</v>
      </c>
    </row>
    <row r="473" spans="1:12" ht="30" x14ac:dyDescent="0.25">
      <c r="A473" s="77"/>
      <c r="B473" s="80"/>
      <c r="C473" s="80"/>
      <c r="D473" s="1" t="s">
        <v>162</v>
      </c>
      <c r="E473" s="28">
        <v>401.3</v>
      </c>
      <c r="F473" s="28">
        <v>401.3</v>
      </c>
      <c r="G473" s="28">
        <v>401.3</v>
      </c>
      <c r="H473" s="1" t="s">
        <v>812</v>
      </c>
      <c r="I473" s="2" t="s">
        <v>28</v>
      </c>
      <c r="J473" s="2">
        <v>100</v>
      </c>
      <c r="K473" s="2">
        <v>100</v>
      </c>
      <c r="L473" s="29">
        <v>100</v>
      </c>
    </row>
    <row r="474" spans="1:12" ht="45" x14ac:dyDescent="0.25">
      <c r="A474" s="77"/>
      <c r="B474" s="80"/>
      <c r="C474" s="80"/>
      <c r="D474" s="1" t="s">
        <v>44</v>
      </c>
      <c r="E474" s="28">
        <v>774.5</v>
      </c>
      <c r="F474" s="28">
        <v>774.5</v>
      </c>
      <c r="G474" s="28">
        <v>994.4</v>
      </c>
      <c r="H474" s="1" t="s">
        <v>813</v>
      </c>
      <c r="I474" s="2" t="s">
        <v>28</v>
      </c>
      <c r="J474" s="2">
        <v>75</v>
      </c>
      <c r="K474" s="2">
        <v>80</v>
      </c>
      <c r="L474" s="29">
        <v>85</v>
      </c>
    </row>
    <row r="475" spans="1:12" ht="45" x14ac:dyDescent="0.25">
      <c r="A475" s="77"/>
      <c r="B475" s="80"/>
      <c r="C475" s="80"/>
      <c r="D475" s="1"/>
      <c r="E475" s="28">
        <v>0</v>
      </c>
      <c r="F475" s="28">
        <v>0</v>
      </c>
      <c r="G475" s="28">
        <v>0</v>
      </c>
      <c r="H475" s="1" t="s">
        <v>814</v>
      </c>
      <c r="I475" s="2" t="s">
        <v>104</v>
      </c>
      <c r="J475" s="2">
        <v>47</v>
      </c>
      <c r="K475" s="2">
        <v>50</v>
      </c>
      <c r="L475" s="29">
        <v>55</v>
      </c>
    </row>
    <row r="476" spans="1:12" ht="60" x14ac:dyDescent="0.25">
      <c r="A476" s="77"/>
      <c r="B476" s="80"/>
      <c r="C476" s="80"/>
      <c r="D476" s="1"/>
      <c r="E476" s="28">
        <v>0</v>
      </c>
      <c r="F476" s="28">
        <v>0</v>
      </c>
      <c r="G476" s="28">
        <v>0</v>
      </c>
      <c r="H476" s="1" t="s">
        <v>815</v>
      </c>
      <c r="I476" s="2" t="s">
        <v>28</v>
      </c>
      <c r="J476" s="2">
        <v>100</v>
      </c>
      <c r="K476" s="2">
        <v>100</v>
      </c>
      <c r="L476" s="29">
        <v>100</v>
      </c>
    </row>
    <row r="477" spans="1:12" ht="30" x14ac:dyDescent="0.25">
      <c r="A477" s="77"/>
      <c r="B477" s="80"/>
      <c r="C477" s="80"/>
      <c r="D477" s="1"/>
      <c r="E477" s="28">
        <v>0</v>
      </c>
      <c r="F477" s="28">
        <v>0</v>
      </c>
      <c r="G477" s="28">
        <v>0</v>
      </c>
      <c r="H477" s="1" t="s">
        <v>816</v>
      </c>
      <c r="I477" s="2" t="s">
        <v>28</v>
      </c>
      <c r="J477" s="2">
        <v>100</v>
      </c>
      <c r="K477" s="2">
        <v>100</v>
      </c>
      <c r="L477" s="29">
        <v>100</v>
      </c>
    </row>
    <row r="478" spans="1:12" ht="30" x14ac:dyDescent="0.25">
      <c r="A478" s="77"/>
      <c r="B478" s="80"/>
      <c r="C478" s="80"/>
      <c r="D478" s="1"/>
      <c r="E478" s="28">
        <v>0</v>
      </c>
      <c r="F478" s="28">
        <v>0</v>
      </c>
      <c r="G478" s="28">
        <v>0</v>
      </c>
      <c r="H478" s="1" t="s">
        <v>817</v>
      </c>
      <c r="I478" s="2" t="s">
        <v>104</v>
      </c>
      <c r="J478" s="2">
        <v>290</v>
      </c>
      <c r="K478" s="2">
        <v>300</v>
      </c>
      <c r="L478" s="29">
        <v>310</v>
      </c>
    </row>
    <row r="479" spans="1:12" ht="30" x14ac:dyDescent="0.25">
      <c r="A479" s="77"/>
      <c r="B479" s="80"/>
      <c r="C479" s="80"/>
      <c r="D479" s="1"/>
      <c r="E479" s="28">
        <v>0</v>
      </c>
      <c r="F479" s="28">
        <v>0</v>
      </c>
      <c r="G479" s="28">
        <v>0</v>
      </c>
      <c r="H479" s="1" t="s">
        <v>818</v>
      </c>
      <c r="I479" s="2" t="s">
        <v>28</v>
      </c>
      <c r="J479" s="2">
        <v>15</v>
      </c>
      <c r="K479" s="2">
        <v>16</v>
      </c>
      <c r="L479" s="29">
        <v>17</v>
      </c>
    </row>
    <row r="480" spans="1:12" ht="30" x14ac:dyDescent="0.25">
      <c r="A480" s="77"/>
      <c r="B480" s="80"/>
      <c r="C480" s="80"/>
      <c r="D480" s="1"/>
      <c r="E480" s="28">
        <v>0</v>
      </c>
      <c r="F480" s="28">
        <v>0</v>
      </c>
      <c r="G480" s="28">
        <v>0</v>
      </c>
      <c r="H480" s="1" t="s">
        <v>819</v>
      </c>
      <c r="I480" s="2" t="s">
        <v>104</v>
      </c>
      <c r="J480" s="2">
        <v>22</v>
      </c>
      <c r="K480" s="2">
        <v>17</v>
      </c>
      <c r="L480" s="29">
        <v>18</v>
      </c>
    </row>
    <row r="481" spans="1:12" ht="41.25" customHeight="1" thickBot="1" x14ac:dyDescent="0.3">
      <c r="A481" s="78"/>
      <c r="B481" s="81"/>
      <c r="C481" s="81"/>
      <c r="D481" s="1"/>
      <c r="E481" s="28">
        <v>0</v>
      </c>
      <c r="F481" s="28">
        <v>0</v>
      </c>
      <c r="G481" s="28">
        <v>0</v>
      </c>
      <c r="H481" s="1" t="s">
        <v>820</v>
      </c>
      <c r="I481" s="2" t="s">
        <v>23</v>
      </c>
      <c r="J481" s="2">
        <v>11</v>
      </c>
      <c r="K481" s="2">
        <v>13</v>
      </c>
      <c r="L481" s="29">
        <v>15</v>
      </c>
    </row>
    <row r="482" spans="1:12" x14ac:dyDescent="0.25">
      <c r="A482" s="76" t="s">
        <v>821</v>
      </c>
      <c r="B482" s="79" t="s">
        <v>822</v>
      </c>
      <c r="C482" s="79" t="s">
        <v>193</v>
      </c>
      <c r="D482" s="24"/>
      <c r="E482" s="25">
        <f>SUM(E483:E488)</f>
        <v>1312.7</v>
      </c>
      <c r="F482" s="25">
        <f>SUM(F483:F488)</f>
        <v>1325.8</v>
      </c>
      <c r="G482" s="25">
        <f>SUM(G483:G488)</f>
        <v>1450</v>
      </c>
      <c r="H482" s="24" t="s">
        <v>823</v>
      </c>
      <c r="I482" s="26" t="s">
        <v>23</v>
      </c>
      <c r="J482" s="26">
        <v>165</v>
      </c>
      <c r="K482" s="26">
        <v>170</v>
      </c>
      <c r="L482" s="27">
        <v>170</v>
      </c>
    </row>
    <row r="483" spans="1:12" x14ac:dyDescent="0.25">
      <c r="A483" s="77"/>
      <c r="B483" s="80"/>
      <c r="C483" s="80"/>
      <c r="D483" s="1" t="s">
        <v>44</v>
      </c>
      <c r="E483" s="28">
        <v>0</v>
      </c>
      <c r="F483" s="28">
        <v>0</v>
      </c>
      <c r="G483" s="28">
        <v>0</v>
      </c>
      <c r="H483" s="1" t="s">
        <v>824</v>
      </c>
      <c r="I483" s="2" t="s">
        <v>23</v>
      </c>
      <c r="J483" s="2">
        <v>220</v>
      </c>
      <c r="K483" s="2">
        <v>220</v>
      </c>
      <c r="L483" s="29">
        <v>220</v>
      </c>
    </row>
    <row r="484" spans="1:12" x14ac:dyDescent="0.25">
      <c r="A484" s="77"/>
      <c r="B484" s="80"/>
      <c r="C484" s="80"/>
      <c r="D484" s="1"/>
      <c r="E484" s="28">
        <v>0</v>
      </c>
      <c r="F484" s="28">
        <v>0</v>
      </c>
      <c r="G484" s="28">
        <v>0</v>
      </c>
      <c r="H484" s="1" t="s">
        <v>825</v>
      </c>
      <c r="I484" s="2" t="s">
        <v>23</v>
      </c>
      <c r="J484" s="2">
        <v>5</v>
      </c>
      <c r="K484" s="2">
        <v>5</v>
      </c>
      <c r="L484" s="29">
        <v>5</v>
      </c>
    </row>
    <row r="485" spans="1:12" x14ac:dyDescent="0.25">
      <c r="A485" s="77"/>
      <c r="B485" s="80"/>
      <c r="C485" s="80"/>
      <c r="D485" s="1"/>
      <c r="E485" s="28">
        <v>0</v>
      </c>
      <c r="F485" s="28">
        <v>0</v>
      </c>
      <c r="G485" s="28">
        <v>0</v>
      </c>
      <c r="H485" s="1" t="s">
        <v>824</v>
      </c>
      <c r="I485" s="2" t="s">
        <v>23</v>
      </c>
      <c r="J485" s="2">
        <v>25</v>
      </c>
      <c r="K485" s="2">
        <v>25</v>
      </c>
      <c r="L485" s="29">
        <v>25</v>
      </c>
    </row>
    <row r="486" spans="1:12" ht="30" x14ac:dyDescent="0.25">
      <c r="A486" s="77"/>
      <c r="B486" s="80"/>
      <c r="C486" s="80"/>
      <c r="D486" s="1"/>
      <c r="E486" s="28">
        <v>0</v>
      </c>
      <c r="F486" s="28">
        <v>0</v>
      </c>
      <c r="G486" s="28">
        <v>0</v>
      </c>
      <c r="H486" s="1" t="s">
        <v>826</v>
      </c>
      <c r="I486" s="2" t="s">
        <v>104</v>
      </c>
      <c r="J486" s="2">
        <v>25</v>
      </c>
      <c r="K486" s="2">
        <v>25</v>
      </c>
      <c r="L486" s="29">
        <v>25</v>
      </c>
    </row>
    <row r="487" spans="1:12" ht="63.75" customHeight="1" x14ac:dyDescent="0.25">
      <c r="A487" s="77"/>
      <c r="B487" s="80"/>
      <c r="C487" s="80"/>
      <c r="D487" s="1"/>
      <c r="E487" s="28">
        <v>0</v>
      </c>
      <c r="F487" s="28">
        <v>0</v>
      </c>
      <c r="G487" s="28">
        <v>0</v>
      </c>
      <c r="H487" s="106" t="s">
        <v>827</v>
      </c>
      <c r="I487" s="107" t="s">
        <v>104</v>
      </c>
      <c r="J487" s="107">
        <v>4</v>
      </c>
      <c r="K487" s="107">
        <v>6</v>
      </c>
      <c r="L487" s="108">
        <v>8</v>
      </c>
    </row>
    <row r="488" spans="1:12" ht="15.75" thickBot="1" x14ac:dyDescent="0.3">
      <c r="A488" s="78"/>
      <c r="B488" s="81"/>
      <c r="C488" s="81"/>
      <c r="D488" s="1" t="s">
        <v>29</v>
      </c>
      <c r="E488" s="28">
        <v>1312.7</v>
      </c>
      <c r="F488" s="28">
        <v>1325.8</v>
      </c>
      <c r="G488" s="28">
        <v>1450</v>
      </c>
      <c r="H488" s="81"/>
      <c r="I488" s="101"/>
      <c r="J488" s="101"/>
      <c r="K488" s="101"/>
      <c r="L488" s="109"/>
    </row>
    <row r="489" spans="1:12" x14ac:dyDescent="0.25">
      <c r="A489" s="76" t="s">
        <v>828</v>
      </c>
      <c r="B489" s="79" t="s">
        <v>829</v>
      </c>
      <c r="C489" s="79" t="s">
        <v>830</v>
      </c>
      <c r="D489" s="24" t="s">
        <v>44</v>
      </c>
      <c r="E489" s="25">
        <f>SUM(E490:E490)+175</f>
        <v>175</v>
      </c>
      <c r="F489" s="25">
        <f>SUM(F490:F490)+175</f>
        <v>175</v>
      </c>
      <c r="G489" s="25">
        <f>SUM(G490:G490)+175</f>
        <v>175</v>
      </c>
      <c r="H489" s="24" t="s">
        <v>831</v>
      </c>
      <c r="I489" s="26" t="s">
        <v>23</v>
      </c>
      <c r="J489" s="26">
        <v>700</v>
      </c>
      <c r="K489" s="26">
        <v>700</v>
      </c>
      <c r="L489" s="27">
        <v>700</v>
      </c>
    </row>
    <row r="490" spans="1:12" ht="30.75" thickBot="1" x14ac:dyDescent="0.3">
      <c r="A490" s="78"/>
      <c r="B490" s="81"/>
      <c r="C490" s="81"/>
      <c r="D490" s="1"/>
      <c r="E490" s="28">
        <v>0</v>
      </c>
      <c r="F490" s="28">
        <v>0</v>
      </c>
      <c r="G490" s="28">
        <v>0</v>
      </c>
      <c r="H490" s="1" t="s">
        <v>832</v>
      </c>
      <c r="I490" s="2" t="s">
        <v>28</v>
      </c>
      <c r="J490" s="2">
        <v>100</v>
      </c>
      <c r="K490" s="2">
        <v>100</v>
      </c>
      <c r="L490" s="29">
        <v>100</v>
      </c>
    </row>
    <row r="491" spans="1:12" x14ac:dyDescent="0.25">
      <c r="A491" s="76" t="s">
        <v>833</v>
      </c>
      <c r="B491" s="79" t="s">
        <v>834</v>
      </c>
      <c r="C491" s="79" t="s">
        <v>193</v>
      </c>
      <c r="D491" s="24" t="s">
        <v>31</v>
      </c>
      <c r="E491" s="25">
        <f>SUM(E492:E492)+41.4</f>
        <v>41.4</v>
      </c>
      <c r="F491" s="25">
        <f>SUM(F492:F492)+41.4</f>
        <v>41.4</v>
      </c>
      <c r="G491" s="25">
        <f>SUM(G492:G492)+41.4</f>
        <v>41.4</v>
      </c>
      <c r="H491" s="24" t="s">
        <v>835</v>
      </c>
      <c r="I491" s="26" t="s">
        <v>104</v>
      </c>
      <c r="J491" s="44">
        <v>1000</v>
      </c>
      <c r="K491" s="44">
        <v>1100</v>
      </c>
      <c r="L491" s="45">
        <v>1200</v>
      </c>
    </row>
    <row r="492" spans="1:12" ht="45.75" thickBot="1" x14ac:dyDescent="0.3">
      <c r="A492" s="78"/>
      <c r="B492" s="81"/>
      <c r="C492" s="81"/>
      <c r="D492" s="1"/>
      <c r="E492" s="28">
        <v>0</v>
      </c>
      <c r="F492" s="28">
        <v>0</v>
      </c>
      <c r="G492" s="28">
        <v>0</v>
      </c>
      <c r="H492" s="1" t="s">
        <v>836</v>
      </c>
      <c r="I492" s="2" t="s">
        <v>104</v>
      </c>
      <c r="J492" s="2">
        <v>2</v>
      </c>
      <c r="K492" s="2">
        <v>2</v>
      </c>
      <c r="L492" s="29">
        <v>2</v>
      </c>
    </row>
    <row r="493" spans="1:12" ht="60.75" thickBot="1" x14ac:dyDescent="0.3">
      <c r="A493" s="30" t="s">
        <v>837</v>
      </c>
      <c r="B493" s="31" t="s">
        <v>838</v>
      </c>
      <c r="C493" s="24" t="s">
        <v>193</v>
      </c>
      <c r="D493" s="24" t="s">
        <v>44</v>
      </c>
      <c r="E493" s="32">
        <v>82.9</v>
      </c>
      <c r="F493" s="32">
        <v>29.4</v>
      </c>
      <c r="G493" s="32">
        <v>0</v>
      </c>
      <c r="H493" s="24" t="s">
        <v>839</v>
      </c>
      <c r="I493" s="26" t="s">
        <v>23</v>
      </c>
      <c r="J493" s="26">
        <v>1</v>
      </c>
      <c r="K493" s="26">
        <v>1</v>
      </c>
      <c r="L493" s="27"/>
    </row>
    <row r="494" spans="1:12" x14ac:dyDescent="0.25">
      <c r="A494" s="76" t="s">
        <v>840</v>
      </c>
      <c r="B494" s="79" t="s">
        <v>841</v>
      </c>
      <c r="C494" s="79" t="s">
        <v>799</v>
      </c>
      <c r="D494" s="24"/>
      <c r="E494" s="25">
        <f>SUM(E495:E496)</f>
        <v>56.300000000000004</v>
      </c>
      <c r="F494" s="25">
        <f>SUM(F495:F496)</f>
        <v>56.300000000000004</v>
      </c>
      <c r="G494" s="25">
        <f>SUM(G495:G496)</f>
        <v>56.300000000000004</v>
      </c>
      <c r="H494" s="79" t="s">
        <v>842</v>
      </c>
      <c r="I494" s="99" t="s">
        <v>23</v>
      </c>
      <c r="J494" s="112">
        <v>6200</v>
      </c>
      <c r="K494" s="112">
        <v>6300</v>
      </c>
      <c r="L494" s="115">
        <v>6300</v>
      </c>
    </row>
    <row r="495" spans="1:12" x14ac:dyDescent="0.25">
      <c r="A495" s="77"/>
      <c r="B495" s="80"/>
      <c r="C495" s="80"/>
      <c r="D495" s="1" t="s">
        <v>33</v>
      </c>
      <c r="E495" s="28">
        <v>50.7</v>
      </c>
      <c r="F495" s="28">
        <v>50.7</v>
      </c>
      <c r="G495" s="28">
        <v>50.7</v>
      </c>
      <c r="H495" s="80"/>
      <c r="I495" s="100"/>
      <c r="J495" s="113"/>
      <c r="K495" s="113"/>
      <c r="L495" s="116"/>
    </row>
    <row r="496" spans="1:12" ht="15.75" thickBot="1" x14ac:dyDescent="0.3">
      <c r="A496" s="78"/>
      <c r="B496" s="81"/>
      <c r="C496" s="81"/>
      <c r="D496" s="1" t="s">
        <v>31</v>
      </c>
      <c r="E496" s="28">
        <v>5.6</v>
      </c>
      <c r="F496" s="28">
        <v>5.6</v>
      </c>
      <c r="G496" s="28">
        <v>5.6</v>
      </c>
      <c r="H496" s="81"/>
      <c r="I496" s="101"/>
      <c r="J496" s="114"/>
      <c r="K496" s="114"/>
      <c r="L496" s="117"/>
    </row>
    <row r="497" spans="1:12" ht="53.25" customHeight="1" x14ac:dyDescent="0.25">
      <c r="A497" s="76" t="s">
        <v>843</v>
      </c>
      <c r="B497" s="79" t="s">
        <v>844</v>
      </c>
      <c r="C497" s="79" t="s">
        <v>845</v>
      </c>
      <c r="D497" s="24"/>
      <c r="E497" s="25">
        <f>SUM(E498:E500)</f>
        <v>112.8</v>
      </c>
      <c r="F497" s="25">
        <f>SUM(F498:F500)</f>
        <v>112.8</v>
      </c>
      <c r="G497" s="25">
        <f>SUM(G498:G500)</f>
        <v>112.8</v>
      </c>
      <c r="H497" s="24" t="s">
        <v>846</v>
      </c>
      <c r="I497" s="26" t="s">
        <v>23</v>
      </c>
      <c r="J497" s="26">
        <v>40</v>
      </c>
      <c r="K497" s="26">
        <v>40</v>
      </c>
      <c r="L497" s="27">
        <v>40</v>
      </c>
    </row>
    <row r="498" spans="1:12" ht="30" x14ac:dyDescent="0.25">
      <c r="A498" s="77"/>
      <c r="B498" s="80"/>
      <c r="C498" s="80"/>
      <c r="D498" s="1" t="s">
        <v>44</v>
      </c>
      <c r="E498" s="28">
        <v>40.799999999999997</v>
      </c>
      <c r="F498" s="28">
        <v>40.799999999999997</v>
      </c>
      <c r="G498" s="28">
        <v>40.799999999999997</v>
      </c>
      <c r="H498" s="1" t="s">
        <v>847</v>
      </c>
      <c r="I498" s="2" t="s">
        <v>23</v>
      </c>
      <c r="J498" s="2">
        <v>120</v>
      </c>
      <c r="K498" s="2">
        <v>120</v>
      </c>
      <c r="L498" s="29">
        <v>120</v>
      </c>
    </row>
    <row r="499" spans="1:12" ht="45" x14ac:dyDescent="0.25">
      <c r="A499" s="77"/>
      <c r="B499" s="80"/>
      <c r="C499" s="80"/>
      <c r="D499" s="1" t="s">
        <v>31</v>
      </c>
      <c r="E499" s="28">
        <v>10.7</v>
      </c>
      <c r="F499" s="28">
        <v>10.7</v>
      </c>
      <c r="G499" s="28">
        <v>10.7</v>
      </c>
      <c r="H499" s="1" t="s">
        <v>848</v>
      </c>
      <c r="I499" s="2" t="s">
        <v>23</v>
      </c>
      <c r="J499" s="2">
        <v>2</v>
      </c>
      <c r="K499" s="2">
        <v>2</v>
      </c>
      <c r="L499" s="29">
        <v>2</v>
      </c>
    </row>
    <row r="500" spans="1:12" ht="45.75" thickBot="1" x14ac:dyDescent="0.3">
      <c r="A500" s="78"/>
      <c r="B500" s="81"/>
      <c r="C500" s="81"/>
      <c r="D500" s="1" t="s">
        <v>33</v>
      </c>
      <c r="E500" s="28">
        <v>61.3</v>
      </c>
      <c r="F500" s="28">
        <v>61.3</v>
      </c>
      <c r="G500" s="28">
        <v>61.3</v>
      </c>
      <c r="H500" s="1" t="s">
        <v>849</v>
      </c>
      <c r="I500" s="2" t="s">
        <v>104</v>
      </c>
      <c r="J500" s="2">
        <v>12</v>
      </c>
      <c r="K500" s="2">
        <v>12</v>
      </c>
      <c r="L500" s="29">
        <v>12</v>
      </c>
    </row>
    <row r="501" spans="1:12" x14ac:dyDescent="0.25">
      <c r="A501" s="68" t="s">
        <v>850</v>
      </c>
      <c r="B501" s="70" t="s">
        <v>851</v>
      </c>
      <c r="C501" s="71"/>
      <c r="D501" s="72"/>
      <c r="E501" s="15">
        <f>E502+E503+E504+E507+E509+E513+E514</f>
        <v>1467.7</v>
      </c>
      <c r="F501" s="15">
        <f>F502+F503+F504+F507+F509+F513+F514</f>
        <v>1491.7</v>
      </c>
      <c r="G501" s="15">
        <f>G502+G503+G504+G507+G509+G513+G514</f>
        <v>2181</v>
      </c>
      <c r="H501" s="16" t="s">
        <v>852</v>
      </c>
      <c r="I501" s="17" t="s">
        <v>23</v>
      </c>
      <c r="J501" s="17">
        <v>13</v>
      </c>
      <c r="K501" s="17">
        <v>13</v>
      </c>
      <c r="L501" s="34">
        <v>13</v>
      </c>
    </row>
    <row r="502" spans="1:12" ht="30" x14ac:dyDescent="0.25">
      <c r="A502" s="102"/>
      <c r="B502" s="103"/>
      <c r="C502" s="104"/>
      <c r="D502" s="105"/>
      <c r="E502" s="20">
        <v>0</v>
      </c>
      <c r="F502" s="20">
        <v>0</v>
      </c>
      <c r="G502" s="20">
        <v>0</v>
      </c>
      <c r="H502" s="21" t="s">
        <v>853</v>
      </c>
      <c r="I502" s="22" t="s">
        <v>854</v>
      </c>
      <c r="J502" s="22">
        <v>7</v>
      </c>
      <c r="K502" s="22">
        <v>6.5</v>
      </c>
      <c r="L502" s="23">
        <v>6.5</v>
      </c>
    </row>
    <row r="503" spans="1:12" ht="30.75" thickBot="1" x14ac:dyDescent="0.3">
      <c r="A503" s="69"/>
      <c r="B503" s="73"/>
      <c r="C503" s="74"/>
      <c r="D503" s="75"/>
      <c r="E503" s="20">
        <v>0</v>
      </c>
      <c r="F503" s="20">
        <v>0</v>
      </c>
      <c r="G503" s="20">
        <v>0</v>
      </c>
      <c r="H503" s="21" t="s">
        <v>855</v>
      </c>
      <c r="I503" s="22" t="s">
        <v>23</v>
      </c>
      <c r="J503" s="22">
        <v>11</v>
      </c>
      <c r="K503" s="22">
        <v>12</v>
      </c>
      <c r="L503" s="23">
        <v>12</v>
      </c>
    </row>
    <row r="504" spans="1:12" x14ac:dyDescent="0.25">
      <c r="A504" s="76" t="s">
        <v>856</v>
      </c>
      <c r="B504" s="79" t="s">
        <v>857</v>
      </c>
      <c r="C504" s="79" t="s">
        <v>858</v>
      </c>
      <c r="D504" s="24"/>
      <c r="E504" s="25">
        <f>SUM(E505:E506)</f>
        <v>653.6</v>
      </c>
      <c r="F504" s="25">
        <f>SUM(F505:F506)</f>
        <v>1056.5</v>
      </c>
      <c r="G504" s="25">
        <f>SUM(G505:G506)</f>
        <v>1455.8</v>
      </c>
      <c r="H504" s="24" t="s">
        <v>859</v>
      </c>
      <c r="I504" s="26" t="s">
        <v>23</v>
      </c>
      <c r="J504" s="26">
        <v>3</v>
      </c>
      <c r="K504" s="26">
        <v>6</v>
      </c>
      <c r="L504" s="27">
        <v>4</v>
      </c>
    </row>
    <row r="505" spans="1:12" x14ac:dyDescent="0.25">
      <c r="A505" s="77"/>
      <c r="B505" s="80"/>
      <c r="C505" s="80"/>
      <c r="D505" s="1" t="s">
        <v>44</v>
      </c>
      <c r="E505" s="28">
        <v>118.9</v>
      </c>
      <c r="F505" s="28">
        <v>225</v>
      </c>
      <c r="G505" s="28">
        <v>449.5</v>
      </c>
      <c r="H505" s="1" t="s">
        <v>860</v>
      </c>
      <c r="I505" s="2" t="s">
        <v>23</v>
      </c>
      <c r="J505" s="2"/>
      <c r="K505" s="2">
        <v>1</v>
      </c>
      <c r="L505" s="29"/>
    </row>
    <row r="506" spans="1:12" ht="15" customHeight="1" thickBot="1" x14ac:dyDescent="0.3">
      <c r="A506" s="78"/>
      <c r="B506" s="81"/>
      <c r="C506" s="81"/>
      <c r="D506" s="1" t="s">
        <v>33</v>
      </c>
      <c r="E506" s="28">
        <v>534.70000000000005</v>
      </c>
      <c r="F506" s="28">
        <v>831.5</v>
      </c>
      <c r="G506" s="28">
        <v>1006.3</v>
      </c>
      <c r="H506" s="1" t="s">
        <v>861</v>
      </c>
      <c r="I506" s="2" t="s">
        <v>23</v>
      </c>
      <c r="J506" s="2"/>
      <c r="K506" s="2"/>
      <c r="L506" s="29">
        <v>2</v>
      </c>
    </row>
    <row r="507" spans="1:12" x14ac:dyDescent="0.25">
      <c r="A507" s="76" t="s">
        <v>862</v>
      </c>
      <c r="B507" s="79" t="s">
        <v>863</v>
      </c>
      <c r="C507" s="79" t="s">
        <v>243</v>
      </c>
      <c r="D507" s="24" t="s">
        <v>29</v>
      </c>
      <c r="E507" s="25">
        <f>SUM(E508:E508)+265.9</f>
        <v>265.89999999999998</v>
      </c>
      <c r="F507" s="25">
        <f>SUM(F508:F508)</f>
        <v>0</v>
      </c>
      <c r="G507" s="25">
        <f>SUM(G508:G508)</f>
        <v>0</v>
      </c>
      <c r="H507" s="24" t="s">
        <v>864</v>
      </c>
      <c r="I507" s="26" t="s">
        <v>23</v>
      </c>
      <c r="J507" s="26">
        <v>3</v>
      </c>
      <c r="K507" s="26">
        <v>0</v>
      </c>
      <c r="L507" s="27">
        <v>0</v>
      </c>
    </row>
    <row r="508" spans="1:12" ht="30.75" thickBot="1" x14ac:dyDescent="0.3">
      <c r="A508" s="78"/>
      <c r="B508" s="81"/>
      <c r="C508" s="81"/>
      <c r="D508" s="1"/>
      <c r="E508" s="28">
        <v>0</v>
      </c>
      <c r="F508" s="28">
        <v>0</v>
      </c>
      <c r="G508" s="28">
        <v>0</v>
      </c>
      <c r="H508" s="1" t="s">
        <v>865</v>
      </c>
      <c r="I508" s="2" t="s">
        <v>104</v>
      </c>
      <c r="J508" s="2">
        <v>440</v>
      </c>
      <c r="K508" s="2">
        <v>450</v>
      </c>
      <c r="L508" s="29">
        <v>450</v>
      </c>
    </row>
    <row r="509" spans="1:12" x14ac:dyDescent="0.25">
      <c r="A509" s="76" t="s">
        <v>866</v>
      </c>
      <c r="B509" s="79" t="s">
        <v>867</v>
      </c>
      <c r="C509" s="79" t="s">
        <v>868</v>
      </c>
      <c r="D509" s="24"/>
      <c r="E509" s="25">
        <f>SUM(E510:E512)</f>
        <v>540.90000000000009</v>
      </c>
      <c r="F509" s="25">
        <f>SUM(F510:F512)</f>
        <v>435.2</v>
      </c>
      <c r="G509" s="25">
        <f>SUM(G510:G512)</f>
        <v>725.19999999999993</v>
      </c>
      <c r="H509" s="79" t="s">
        <v>869</v>
      </c>
      <c r="I509" s="79" t="s">
        <v>123</v>
      </c>
      <c r="J509" s="99">
        <v>6</v>
      </c>
      <c r="K509" s="99">
        <v>6</v>
      </c>
      <c r="L509" s="111">
        <v>9</v>
      </c>
    </row>
    <row r="510" spans="1:12" x14ac:dyDescent="0.25">
      <c r="A510" s="77"/>
      <c r="B510" s="80"/>
      <c r="C510" s="80"/>
      <c r="D510" s="1" t="s">
        <v>44</v>
      </c>
      <c r="E510" s="28">
        <v>53.6</v>
      </c>
      <c r="F510" s="28">
        <v>65.3</v>
      </c>
      <c r="G510" s="28">
        <v>95.3</v>
      </c>
      <c r="H510" s="80"/>
      <c r="I510" s="80"/>
      <c r="J510" s="100"/>
      <c r="K510" s="100"/>
      <c r="L510" s="110"/>
    </row>
    <row r="511" spans="1:12" x14ac:dyDescent="0.25">
      <c r="A511" s="77"/>
      <c r="B511" s="80"/>
      <c r="C511" s="80"/>
      <c r="D511" s="1" t="s">
        <v>33</v>
      </c>
      <c r="E511" s="28">
        <v>303</v>
      </c>
      <c r="F511" s="28">
        <v>369.9</v>
      </c>
      <c r="G511" s="28">
        <v>629.9</v>
      </c>
      <c r="H511" s="80"/>
      <c r="I511" s="80"/>
      <c r="J511" s="100"/>
      <c r="K511" s="100"/>
      <c r="L511" s="110"/>
    </row>
    <row r="512" spans="1:12" ht="15.75" thickBot="1" x14ac:dyDescent="0.3">
      <c r="A512" s="78"/>
      <c r="B512" s="81"/>
      <c r="C512" s="81"/>
      <c r="D512" s="1" t="s">
        <v>29</v>
      </c>
      <c r="E512" s="28">
        <v>184.3</v>
      </c>
      <c r="F512" s="28">
        <v>0</v>
      </c>
      <c r="G512" s="28">
        <v>0</v>
      </c>
      <c r="H512" s="81"/>
      <c r="I512" s="81"/>
      <c r="J512" s="101"/>
      <c r="K512" s="101"/>
      <c r="L512" s="109"/>
    </row>
    <row r="513" spans="1:12" ht="45.75" thickBot="1" x14ac:dyDescent="0.3">
      <c r="A513" s="30" t="s">
        <v>870</v>
      </c>
      <c r="B513" s="31" t="s">
        <v>871</v>
      </c>
      <c r="C513" s="24" t="s">
        <v>665</v>
      </c>
      <c r="D513" s="24" t="s">
        <v>29</v>
      </c>
      <c r="E513" s="32">
        <v>4.3</v>
      </c>
      <c r="F513" s="32">
        <v>0</v>
      </c>
      <c r="G513" s="32">
        <v>0</v>
      </c>
      <c r="H513" s="24" t="s">
        <v>614</v>
      </c>
      <c r="I513" s="26" t="s">
        <v>23</v>
      </c>
      <c r="J513" s="26">
        <v>1</v>
      </c>
      <c r="K513" s="26"/>
      <c r="L513" s="27"/>
    </row>
    <row r="514" spans="1:12" ht="44.25" customHeight="1" thickBot="1" x14ac:dyDescent="0.3">
      <c r="A514" s="30" t="s">
        <v>872</v>
      </c>
      <c r="B514" s="31" t="s">
        <v>873</v>
      </c>
      <c r="C514" s="24" t="s">
        <v>806</v>
      </c>
      <c r="D514" s="24" t="s">
        <v>29</v>
      </c>
      <c r="E514" s="32">
        <v>3</v>
      </c>
      <c r="F514" s="32">
        <v>0</v>
      </c>
      <c r="G514" s="32">
        <v>0</v>
      </c>
      <c r="H514" s="24" t="s">
        <v>614</v>
      </c>
      <c r="I514" s="26" t="s">
        <v>23</v>
      </c>
      <c r="J514" s="26">
        <v>1</v>
      </c>
      <c r="K514" s="26"/>
      <c r="L514" s="27"/>
    </row>
    <row r="515" spans="1:12" ht="30.75" thickBot="1" x14ac:dyDescent="0.3">
      <c r="A515" s="33" t="s">
        <v>874</v>
      </c>
      <c r="B515" s="96" t="s">
        <v>875</v>
      </c>
      <c r="C515" s="97"/>
      <c r="D515" s="98"/>
      <c r="E515" s="15">
        <f>E516+E520+E522+E524+E525+E526+E529</f>
        <v>56717.5</v>
      </c>
      <c r="F515" s="15">
        <f>F516+F520+F522+F524+F525+F526+F529</f>
        <v>56517.5</v>
      </c>
      <c r="G515" s="15">
        <f>G516+G520+G522+G524+G525+G526+G529</f>
        <v>56517.5</v>
      </c>
      <c r="H515" s="16" t="s">
        <v>876</v>
      </c>
      <c r="I515" s="17" t="s">
        <v>28</v>
      </c>
      <c r="J515" s="17">
        <v>15.6</v>
      </c>
      <c r="K515" s="17">
        <v>15</v>
      </c>
      <c r="L515" s="34">
        <v>15</v>
      </c>
    </row>
    <row r="516" spans="1:12" ht="30" x14ac:dyDescent="0.25">
      <c r="A516" s="76" t="s">
        <v>877</v>
      </c>
      <c r="B516" s="79" t="s">
        <v>878</v>
      </c>
      <c r="C516" s="79" t="s">
        <v>196</v>
      </c>
      <c r="D516" s="24"/>
      <c r="E516" s="25">
        <f>SUM(E517:E519)</f>
        <v>6024.6</v>
      </c>
      <c r="F516" s="25">
        <f>SUM(F517:F519)</f>
        <v>6024.6</v>
      </c>
      <c r="G516" s="25">
        <f>SUM(G517:G519)</f>
        <v>6024.6</v>
      </c>
      <c r="H516" s="24" t="s">
        <v>879</v>
      </c>
      <c r="I516" s="26" t="s">
        <v>104</v>
      </c>
      <c r="J516" s="44">
        <v>18500</v>
      </c>
      <c r="K516" s="44">
        <v>18500</v>
      </c>
      <c r="L516" s="45">
        <v>18500</v>
      </c>
    </row>
    <row r="517" spans="1:12" x14ac:dyDescent="0.25">
      <c r="A517" s="77"/>
      <c r="B517" s="80"/>
      <c r="C517" s="80"/>
      <c r="D517" s="1" t="s">
        <v>29</v>
      </c>
      <c r="E517" s="28">
        <v>4573</v>
      </c>
      <c r="F517" s="28">
        <v>4573</v>
      </c>
      <c r="G517" s="28">
        <v>4573</v>
      </c>
      <c r="H517" s="106" t="s">
        <v>880</v>
      </c>
      <c r="I517" s="107" t="s">
        <v>104</v>
      </c>
      <c r="J517" s="120">
        <v>1350</v>
      </c>
      <c r="K517" s="120">
        <v>1350</v>
      </c>
      <c r="L517" s="121">
        <v>1350</v>
      </c>
    </row>
    <row r="518" spans="1:12" x14ac:dyDescent="0.25">
      <c r="A518" s="77"/>
      <c r="B518" s="80"/>
      <c r="C518" s="80"/>
      <c r="D518" s="1" t="s">
        <v>31</v>
      </c>
      <c r="E518" s="28">
        <v>670</v>
      </c>
      <c r="F518" s="28">
        <v>670</v>
      </c>
      <c r="G518" s="28">
        <v>670</v>
      </c>
      <c r="H518" s="80"/>
      <c r="I518" s="100"/>
      <c r="J518" s="113"/>
      <c r="K518" s="113"/>
      <c r="L518" s="116"/>
    </row>
    <row r="519" spans="1:12" ht="15.75" thickBot="1" x14ac:dyDescent="0.3">
      <c r="A519" s="78"/>
      <c r="B519" s="81"/>
      <c r="C519" s="81"/>
      <c r="D519" s="1" t="s">
        <v>162</v>
      </c>
      <c r="E519" s="28">
        <v>781.6</v>
      </c>
      <c r="F519" s="28">
        <v>781.6</v>
      </c>
      <c r="G519" s="28">
        <v>781.6</v>
      </c>
      <c r="H519" s="81"/>
      <c r="I519" s="101"/>
      <c r="J519" s="114"/>
      <c r="K519" s="114"/>
      <c r="L519" s="117"/>
    </row>
    <row r="520" spans="1:12" x14ac:dyDescent="0.25">
      <c r="A520" s="76" t="s">
        <v>881</v>
      </c>
      <c r="B520" s="79" t="s">
        <v>882</v>
      </c>
      <c r="C520" s="79" t="s">
        <v>196</v>
      </c>
      <c r="D520" s="24" t="s">
        <v>291</v>
      </c>
      <c r="E520" s="25">
        <f>SUM(E521:E521)+34600</f>
        <v>34600</v>
      </c>
      <c r="F520" s="25">
        <f>SUM(F521:F521)+34600</f>
        <v>34600</v>
      </c>
      <c r="G520" s="25">
        <f>SUM(G521:G521)+34600</f>
        <v>34600</v>
      </c>
      <c r="H520" s="24" t="s">
        <v>883</v>
      </c>
      <c r="I520" s="26" t="s">
        <v>104</v>
      </c>
      <c r="J520" s="44">
        <v>21500</v>
      </c>
      <c r="K520" s="44">
        <v>21500</v>
      </c>
      <c r="L520" s="45">
        <v>21500</v>
      </c>
    </row>
    <row r="521" spans="1:12" ht="15.75" thickBot="1" x14ac:dyDescent="0.3">
      <c r="A521" s="78"/>
      <c r="B521" s="81"/>
      <c r="C521" s="81"/>
      <c r="D521" s="1"/>
      <c r="E521" s="28">
        <v>0</v>
      </c>
      <c r="F521" s="28">
        <v>0</v>
      </c>
      <c r="G521" s="28">
        <v>0</v>
      </c>
      <c r="H521" s="1" t="s">
        <v>884</v>
      </c>
      <c r="I521" s="2" t="s">
        <v>23</v>
      </c>
      <c r="J521" s="2">
        <v>38</v>
      </c>
      <c r="K521" s="2">
        <v>38</v>
      </c>
      <c r="L521" s="29">
        <v>38</v>
      </c>
    </row>
    <row r="522" spans="1:12" x14ac:dyDescent="0.25">
      <c r="A522" s="76" t="s">
        <v>885</v>
      </c>
      <c r="B522" s="79" t="s">
        <v>886</v>
      </c>
      <c r="C522" s="79" t="s">
        <v>196</v>
      </c>
      <c r="D522" s="24" t="s">
        <v>291</v>
      </c>
      <c r="E522" s="25">
        <f>SUM(E523:E523)+14063</f>
        <v>14063</v>
      </c>
      <c r="F522" s="25">
        <f>SUM(F523:F523)+14063</f>
        <v>14063</v>
      </c>
      <c r="G522" s="25">
        <f>SUM(G523:G523)+14063</f>
        <v>14063</v>
      </c>
      <c r="H522" s="24" t="s">
        <v>883</v>
      </c>
      <c r="I522" s="26" t="s">
        <v>104</v>
      </c>
      <c r="J522" s="44">
        <v>4400</v>
      </c>
      <c r="K522" s="44">
        <v>4400</v>
      </c>
      <c r="L522" s="45">
        <v>4400</v>
      </c>
    </row>
    <row r="523" spans="1:12" ht="15.75" thickBot="1" x14ac:dyDescent="0.3">
      <c r="A523" s="78"/>
      <c r="B523" s="81"/>
      <c r="C523" s="81"/>
      <c r="D523" s="1"/>
      <c r="E523" s="28">
        <v>0</v>
      </c>
      <c r="F523" s="28">
        <v>0</v>
      </c>
      <c r="G523" s="28">
        <v>0</v>
      </c>
      <c r="H523" s="1" t="s">
        <v>884</v>
      </c>
      <c r="I523" s="2" t="s">
        <v>23</v>
      </c>
      <c r="J523" s="2">
        <v>38</v>
      </c>
      <c r="K523" s="2">
        <v>38</v>
      </c>
      <c r="L523" s="29">
        <v>38</v>
      </c>
    </row>
    <row r="524" spans="1:12" ht="60.75" thickBot="1" x14ac:dyDescent="0.3">
      <c r="A524" s="30" t="s">
        <v>887</v>
      </c>
      <c r="B524" s="31" t="s">
        <v>888</v>
      </c>
      <c r="C524" s="24" t="s">
        <v>196</v>
      </c>
      <c r="D524" s="24" t="s">
        <v>162</v>
      </c>
      <c r="E524" s="32">
        <v>0.8</v>
      </c>
      <c r="F524" s="32">
        <v>0.8</v>
      </c>
      <c r="G524" s="32">
        <v>0.8</v>
      </c>
      <c r="H524" s="24" t="s">
        <v>883</v>
      </c>
      <c r="I524" s="26" t="s">
        <v>104</v>
      </c>
      <c r="J524" s="26">
        <v>1</v>
      </c>
      <c r="K524" s="26">
        <v>1</v>
      </c>
      <c r="L524" s="27">
        <v>1</v>
      </c>
    </row>
    <row r="525" spans="1:12" ht="15.75" thickBot="1" x14ac:dyDescent="0.3">
      <c r="A525" s="30" t="s">
        <v>889</v>
      </c>
      <c r="B525" s="31" t="s">
        <v>890</v>
      </c>
      <c r="C525" s="24" t="s">
        <v>196</v>
      </c>
      <c r="D525" s="24" t="s">
        <v>44</v>
      </c>
      <c r="E525" s="32">
        <v>5.2</v>
      </c>
      <c r="F525" s="32">
        <v>5.2</v>
      </c>
      <c r="G525" s="32">
        <v>5.2</v>
      </c>
      <c r="H525" s="24" t="s">
        <v>883</v>
      </c>
      <c r="I525" s="26" t="s">
        <v>104</v>
      </c>
      <c r="J525" s="26">
        <v>2</v>
      </c>
      <c r="K525" s="26">
        <v>2</v>
      </c>
      <c r="L525" s="27">
        <v>2</v>
      </c>
    </row>
    <row r="526" spans="1:12" x14ac:dyDescent="0.25">
      <c r="A526" s="76" t="s">
        <v>891</v>
      </c>
      <c r="B526" s="79" t="s">
        <v>892</v>
      </c>
      <c r="C526" s="79" t="s">
        <v>196</v>
      </c>
      <c r="D526" s="24"/>
      <c r="E526" s="25">
        <f>SUM(E527:E528)</f>
        <v>1823.9</v>
      </c>
      <c r="F526" s="25">
        <f>SUM(F527:F528)</f>
        <v>1823.9</v>
      </c>
      <c r="G526" s="25">
        <f>SUM(G527:G528)</f>
        <v>1823.9</v>
      </c>
      <c r="H526" s="79" t="s">
        <v>883</v>
      </c>
      <c r="I526" s="99" t="s">
        <v>104</v>
      </c>
      <c r="J526" s="112">
        <v>4790</v>
      </c>
      <c r="K526" s="112">
        <v>4790</v>
      </c>
      <c r="L526" s="115">
        <v>4790</v>
      </c>
    </row>
    <row r="527" spans="1:12" x14ac:dyDescent="0.25">
      <c r="A527" s="77"/>
      <c r="B527" s="80"/>
      <c r="C527" s="80"/>
      <c r="D527" s="1" t="s">
        <v>162</v>
      </c>
      <c r="E527" s="28">
        <v>1703.9</v>
      </c>
      <c r="F527" s="28">
        <v>1703.9</v>
      </c>
      <c r="G527" s="28">
        <v>1703.9</v>
      </c>
      <c r="H527" s="80"/>
      <c r="I527" s="100"/>
      <c r="J527" s="113"/>
      <c r="K527" s="113"/>
      <c r="L527" s="116"/>
    </row>
    <row r="528" spans="1:12" ht="15.75" thickBot="1" x14ac:dyDescent="0.3">
      <c r="A528" s="78"/>
      <c r="B528" s="81"/>
      <c r="C528" s="81"/>
      <c r="D528" s="1" t="s">
        <v>31</v>
      </c>
      <c r="E528" s="28">
        <v>120</v>
      </c>
      <c r="F528" s="28">
        <v>120</v>
      </c>
      <c r="G528" s="28">
        <v>120</v>
      </c>
      <c r="H528" s="81"/>
      <c r="I528" s="101"/>
      <c r="J528" s="114"/>
      <c r="K528" s="114"/>
      <c r="L528" s="117"/>
    </row>
    <row r="529" spans="1:12" ht="45.75" thickBot="1" x14ac:dyDescent="0.3">
      <c r="A529" s="30" t="s">
        <v>893</v>
      </c>
      <c r="B529" s="31" t="s">
        <v>894</v>
      </c>
      <c r="C529" s="24" t="s">
        <v>185</v>
      </c>
      <c r="D529" s="24" t="s">
        <v>44</v>
      </c>
      <c r="E529" s="32">
        <v>200</v>
      </c>
      <c r="F529" s="32">
        <v>0</v>
      </c>
      <c r="G529" s="32">
        <v>0</v>
      </c>
      <c r="H529" s="24" t="s">
        <v>895</v>
      </c>
      <c r="I529" s="26" t="s">
        <v>28</v>
      </c>
      <c r="J529" s="26">
        <v>100</v>
      </c>
      <c r="K529" s="26"/>
      <c r="L529" s="27"/>
    </row>
    <row r="530" spans="1:12" ht="27" customHeight="1" thickBot="1" x14ac:dyDescent="0.3">
      <c r="A530" s="12" t="s">
        <v>896</v>
      </c>
      <c r="B530" s="13" t="s">
        <v>897</v>
      </c>
      <c r="C530" s="66" t="s">
        <v>898</v>
      </c>
      <c r="D530" s="67"/>
      <c r="E530" s="14">
        <f>E531+E569</f>
        <v>23740.6</v>
      </c>
      <c r="F530" s="14">
        <f>F531+F569</f>
        <v>18228.599999999999</v>
      </c>
      <c r="G530" s="14">
        <f>G531+G569</f>
        <v>16026.3</v>
      </c>
      <c r="H530" s="93"/>
      <c r="I530" s="94"/>
      <c r="J530" s="94"/>
      <c r="K530" s="94"/>
      <c r="L530" s="95"/>
    </row>
    <row r="531" spans="1:12" ht="45" x14ac:dyDescent="0.25">
      <c r="A531" s="68" t="s">
        <v>899</v>
      </c>
      <c r="B531" s="70" t="s">
        <v>900</v>
      </c>
      <c r="C531" s="71"/>
      <c r="D531" s="72"/>
      <c r="E531" s="15">
        <f>E532+E533+E539+E544+E553+E559+E561+E564+E565+E568</f>
        <v>12162.5</v>
      </c>
      <c r="F531" s="15">
        <f>F532+F533+F539+F544+F553+F559+F561+F564+F565+F568</f>
        <v>12230.6</v>
      </c>
      <c r="G531" s="15">
        <f>G532+G533+G539+G544+G553+G559+G561+G564+G565+G568</f>
        <v>12547.5</v>
      </c>
      <c r="H531" s="16" t="s">
        <v>901</v>
      </c>
      <c r="I531" s="17" t="s">
        <v>28</v>
      </c>
      <c r="J531" s="17">
        <v>9</v>
      </c>
      <c r="K531" s="17">
        <v>9.1999999999999993</v>
      </c>
      <c r="L531" s="34">
        <v>9.4</v>
      </c>
    </row>
    <row r="532" spans="1:12" ht="30.75" thickBot="1" x14ac:dyDescent="0.3">
      <c r="A532" s="69"/>
      <c r="B532" s="73"/>
      <c r="C532" s="74"/>
      <c r="D532" s="75"/>
      <c r="E532" s="20">
        <v>0</v>
      </c>
      <c r="F532" s="20">
        <v>0</v>
      </c>
      <c r="G532" s="20">
        <v>0</v>
      </c>
      <c r="H532" s="21" t="s">
        <v>902</v>
      </c>
      <c r="I532" s="22" t="s">
        <v>104</v>
      </c>
      <c r="J532" s="22">
        <v>13</v>
      </c>
      <c r="K532" s="22">
        <v>13</v>
      </c>
      <c r="L532" s="23">
        <v>14</v>
      </c>
    </row>
    <row r="533" spans="1:12" ht="45" x14ac:dyDescent="0.25">
      <c r="A533" s="76" t="s">
        <v>903</v>
      </c>
      <c r="B533" s="79" t="s">
        <v>904</v>
      </c>
      <c r="C533" s="79" t="s">
        <v>898</v>
      </c>
      <c r="D533" s="24"/>
      <c r="E533" s="25">
        <f>SUM(E534:E538)</f>
        <v>7143.2000000000007</v>
      </c>
      <c r="F533" s="25">
        <f>SUM(F534:F538)</f>
        <v>7142.9</v>
      </c>
      <c r="G533" s="25">
        <f>SUM(G534:G538)</f>
        <v>7300.5999999999995</v>
      </c>
      <c r="H533" s="24" t="s">
        <v>905</v>
      </c>
      <c r="I533" s="26" t="s">
        <v>104</v>
      </c>
      <c r="J533" s="44">
        <v>2975</v>
      </c>
      <c r="K533" s="44">
        <v>3000</v>
      </c>
      <c r="L533" s="45">
        <v>3025</v>
      </c>
    </row>
    <row r="534" spans="1:12" x14ac:dyDescent="0.25">
      <c r="A534" s="77"/>
      <c r="B534" s="80"/>
      <c r="C534" s="80"/>
      <c r="D534" s="1" t="s">
        <v>29</v>
      </c>
      <c r="E534" s="28">
        <v>68.599999999999994</v>
      </c>
      <c r="F534" s="28">
        <v>0</v>
      </c>
      <c r="G534" s="28">
        <v>0</v>
      </c>
      <c r="H534" s="1" t="s">
        <v>906</v>
      </c>
      <c r="I534" s="2" t="s">
        <v>104</v>
      </c>
      <c r="J534" s="2">
        <v>51</v>
      </c>
      <c r="K534" s="2">
        <v>53</v>
      </c>
      <c r="L534" s="29">
        <v>55</v>
      </c>
    </row>
    <row r="535" spans="1:12" ht="30" x14ac:dyDescent="0.25">
      <c r="A535" s="77"/>
      <c r="B535" s="80"/>
      <c r="C535" s="80"/>
      <c r="D535" s="1" t="s">
        <v>116</v>
      </c>
      <c r="E535" s="28">
        <v>577.1</v>
      </c>
      <c r="F535" s="28">
        <v>578.6</v>
      </c>
      <c r="G535" s="28">
        <v>580.1</v>
      </c>
      <c r="H535" s="1" t="s">
        <v>907</v>
      </c>
      <c r="I535" s="2" t="s">
        <v>104</v>
      </c>
      <c r="J535" s="2">
        <v>167</v>
      </c>
      <c r="K535" s="2">
        <v>169</v>
      </c>
      <c r="L535" s="29">
        <v>170</v>
      </c>
    </row>
    <row r="536" spans="1:12" ht="60" x14ac:dyDescent="0.25">
      <c r="A536" s="77"/>
      <c r="B536" s="80"/>
      <c r="C536" s="80"/>
      <c r="D536" s="1" t="s">
        <v>144</v>
      </c>
      <c r="E536" s="28">
        <v>145.69999999999999</v>
      </c>
      <c r="F536" s="28">
        <v>137.1</v>
      </c>
      <c r="G536" s="28">
        <v>137.6</v>
      </c>
      <c r="H536" s="1" t="s">
        <v>908</v>
      </c>
      <c r="I536" s="2" t="s">
        <v>123</v>
      </c>
      <c r="J536" s="2">
        <v>3</v>
      </c>
      <c r="K536" s="2">
        <v>3</v>
      </c>
      <c r="L536" s="29">
        <v>3</v>
      </c>
    </row>
    <row r="537" spans="1:12" ht="38.25" customHeight="1" x14ac:dyDescent="0.25">
      <c r="A537" s="77"/>
      <c r="B537" s="80"/>
      <c r="C537" s="80"/>
      <c r="D537" s="1" t="s">
        <v>291</v>
      </c>
      <c r="E537" s="28">
        <v>48.5</v>
      </c>
      <c r="F537" s="28">
        <v>48.5</v>
      </c>
      <c r="G537" s="28">
        <v>48.5</v>
      </c>
      <c r="H537" s="106" t="s">
        <v>905</v>
      </c>
      <c r="I537" s="107" t="s">
        <v>104</v>
      </c>
      <c r="J537" s="107">
        <v>1.25</v>
      </c>
      <c r="K537" s="107">
        <v>1.25</v>
      </c>
      <c r="L537" s="108">
        <v>1.25</v>
      </c>
    </row>
    <row r="538" spans="1:12" ht="15.75" thickBot="1" x14ac:dyDescent="0.3">
      <c r="A538" s="78"/>
      <c r="B538" s="81"/>
      <c r="C538" s="81"/>
      <c r="D538" s="1" t="s">
        <v>44</v>
      </c>
      <c r="E538" s="28">
        <v>6303.3</v>
      </c>
      <c r="F538" s="28">
        <v>6378.7</v>
      </c>
      <c r="G538" s="28">
        <v>6534.4</v>
      </c>
      <c r="H538" s="81"/>
      <c r="I538" s="101"/>
      <c r="J538" s="101"/>
      <c r="K538" s="101"/>
      <c r="L538" s="109"/>
    </row>
    <row r="539" spans="1:12" ht="30" x14ac:dyDescent="0.25">
      <c r="A539" s="76" t="s">
        <v>909</v>
      </c>
      <c r="B539" s="79" t="s">
        <v>910</v>
      </c>
      <c r="C539" s="79" t="s">
        <v>911</v>
      </c>
      <c r="D539" s="24"/>
      <c r="E539" s="25">
        <f>SUM(E540:E543)</f>
        <v>3062.9</v>
      </c>
      <c r="F539" s="25">
        <f>SUM(F540:F543)</f>
        <v>3062.9</v>
      </c>
      <c r="G539" s="25">
        <f>SUM(G540:G543)</f>
        <v>3062.9</v>
      </c>
      <c r="H539" s="24" t="s">
        <v>912</v>
      </c>
      <c r="I539" s="26" t="s">
        <v>23</v>
      </c>
      <c r="J539" s="26">
        <v>3</v>
      </c>
      <c r="K539" s="26">
        <v>3</v>
      </c>
      <c r="L539" s="27">
        <v>3</v>
      </c>
    </row>
    <row r="540" spans="1:12" ht="30" x14ac:dyDescent="0.25">
      <c r="A540" s="77"/>
      <c r="B540" s="80"/>
      <c r="C540" s="80"/>
      <c r="D540" s="1" t="s">
        <v>44</v>
      </c>
      <c r="E540" s="28">
        <v>0</v>
      </c>
      <c r="F540" s="28">
        <v>0</v>
      </c>
      <c r="G540" s="28">
        <v>0</v>
      </c>
      <c r="H540" s="1" t="s">
        <v>913</v>
      </c>
      <c r="I540" s="2" t="s">
        <v>104</v>
      </c>
      <c r="J540" s="2">
        <v>800</v>
      </c>
      <c r="K540" s="2">
        <v>820</v>
      </c>
      <c r="L540" s="29">
        <v>850</v>
      </c>
    </row>
    <row r="541" spans="1:12" ht="30" x14ac:dyDescent="0.25">
      <c r="A541" s="77"/>
      <c r="B541" s="80"/>
      <c r="C541" s="80"/>
      <c r="D541" s="1"/>
      <c r="E541" s="28">
        <v>0</v>
      </c>
      <c r="F541" s="28">
        <v>0</v>
      </c>
      <c r="G541" s="28">
        <v>0</v>
      </c>
      <c r="H541" s="1" t="s">
        <v>914</v>
      </c>
      <c r="I541" s="2" t="s">
        <v>23</v>
      </c>
      <c r="J541" s="2">
        <v>1</v>
      </c>
      <c r="K541" s="2">
        <v>2</v>
      </c>
      <c r="L541" s="29">
        <v>2</v>
      </c>
    </row>
    <row r="542" spans="1:12" ht="25.5" customHeight="1" x14ac:dyDescent="0.25">
      <c r="A542" s="77"/>
      <c r="B542" s="80"/>
      <c r="C542" s="80"/>
      <c r="D542" s="1"/>
      <c r="E542" s="28">
        <v>0</v>
      </c>
      <c r="F542" s="28">
        <v>0</v>
      </c>
      <c r="G542" s="28">
        <v>0</v>
      </c>
      <c r="H542" s="106" t="s">
        <v>915</v>
      </c>
      <c r="I542" s="107" t="s">
        <v>104</v>
      </c>
      <c r="J542" s="107">
        <v>610</v>
      </c>
      <c r="K542" s="107">
        <v>620</v>
      </c>
      <c r="L542" s="108">
        <v>630</v>
      </c>
    </row>
    <row r="543" spans="1:12" ht="15.75" thickBot="1" x14ac:dyDescent="0.3">
      <c r="A543" s="78"/>
      <c r="B543" s="81"/>
      <c r="C543" s="81"/>
      <c r="D543" s="1" t="s">
        <v>29</v>
      </c>
      <c r="E543" s="28">
        <v>3062.9</v>
      </c>
      <c r="F543" s="28">
        <v>3062.9</v>
      </c>
      <c r="G543" s="28">
        <v>3062.9</v>
      </c>
      <c r="H543" s="81"/>
      <c r="I543" s="101"/>
      <c r="J543" s="101"/>
      <c r="K543" s="101"/>
      <c r="L543" s="109"/>
    </row>
    <row r="544" spans="1:12" ht="45" x14ac:dyDescent="0.25">
      <c r="A544" s="76" t="s">
        <v>916</v>
      </c>
      <c r="B544" s="79" t="s">
        <v>917</v>
      </c>
      <c r="C544" s="79" t="s">
        <v>898</v>
      </c>
      <c r="D544" s="24"/>
      <c r="E544" s="25">
        <f>SUM(E545:E552)</f>
        <v>184.4</v>
      </c>
      <c r="F544" s="25">
        <f>SUM(F545:F552)</f>
        <v>191</v>
      </c>
      <c r="G544" s="25">
        <f>SUM(G545:G552)</f>
        <v>210</v>
      </c>
      <c r="H544" s="24" t="s">
        <v>918</v>
      </c>
      <c r="I544" s="26" t="s">
        <v>23</v>
      </c>
      <c r="J544" s="26">
        <v>265</v>
      </c>
      <c r="K544" s="26">
        <v>268</v>
      </c>
      <c r="L544" s="27">
        <v>270</v>
      </c>
    </row>
    <row r="545" spans="1:12" ht="40.5" customHeight="1" x14ac:dyDescent="0.25">
      <c r="A545" s="77"/>
      <c r="B545" s="80"/>
      <c r="C545" s="80"/>
      <c r="D545" s="1" t="s">
        <v>29</v>
      </c>
      <c r="E545" s="28">
        <v>9.4</v>
      </c>
      <c r="F545" s="28">
        <v>0</v>
      </c>
      <c r="G545" s="28">
        <v>0</v>
      </c>
      <c r="H545" s="1" t="s">
        <v>919</v>
      </c>
      <c r="I545" s="2" t="s">
        <v>23</v>
      </c>
      <c r="J545" s="2">
        <v>570</v>
      </c>
      <c r="K545" s="2">
        <v>570</v>
      </c>
      <c r="L545" s="29">
        <v>570</v>
      </c>
    </row>
    <row r="546" spans="1:12" ht="60" x14ac:dyDescent="0.25">
      <c r="A546" s="77"/>
      <c r="B546" s="80"/>
      <c r="C546" s="80"/>
      <c r="D546" s="1" t="s">
        <v>44</v>
      </c>
      <c r="E546" s="28">
        <v>175</v>
      </c>
      <c r="F546" s="28">
        <v>191</v>
      </c>
      <c r="G546" s="28">
        <v>210</v>
      </c>
      <c r="H546" s="1" t="s">
        <v>920</v>
      </c>
      <c r="I546" s="2" t="s">
        <v>23</v>
      </c>
      <c r="J546" s="2">
        <v>38</v>
      </c>
      <c r="K546" s="2">
        <v>39</v>
      </c>
      <c r="L546" s="29">
        <v>39</v>
      </c>
    </row>
    <row r="547" spans="1:12" ht="60" x14ac:dyDescent="0.25">
      <c r="A547" s="77"/>
      <c r="B547" s="80"/>
      <c r="C547" s="80"/>
      <c r="D547" s="1"/>
      <c r="E547" s="28">
        <v>0</v>
      </c>
      <c r="F547" s="28">
        <v>0</v>
      </c>
      <c r="G547" s="28">
        <v>0</v>
      </c>
      <c r="H547" s="1" t="s">
        <v>921</v>
      </c>
      <c r="I547" s="2" t="s">
        <v>23</v>
      </c>
      <c r="J547" s="2">
        <v>26</v>
      </c>
      <c r="K547" s="2">
        <v>27</v>
      </c>
      <c r="L547" s="29">
        <v>28</v>
      </c>
    </row>
    <row r="548" spans="1:12" ht="30" x14ac:dyDescent="0.25">
      <c r="A548" s="77"/>
      <c r="B548" s="80"/>
      <c r="C548" s="80"/>
      <c r="D548" s="1"/>
      <c r="E548" s="28">
        <v>0</v>
      </c>
      <c r="F548" s="28">
        <v>0</v>
      </c>
      <c r="G548" s="28">
        <v>0</v>
      </c>
      <c r="H548" s="1" t="s">
        <v>922</v>
      </c>
      <c r="I548" s="2" t="s">
        <v>104</v>
      </c>
      <c r="J548" s="2">
        <v>62</v>
      </c>
      <c r="K548" s="2">
        <v>62</v>
      </c>
      <c r="L548" s="29">
        <v>62</v>
      </c>
    </row>
    <row r="549" spans="1:12" ht="45" x14ac:dyDescent="0.25">
      <c r="A549" s="77"/>
      <c r="B549" s="80"/>
      <c r="C549" s="80"/>
      <c r="D549" s="1"/>
      <c r="E549" s="28">
        <v>0</v>
      </c>
      <c r="F549" s="28">
        <v>0</v>
      </c>
      <c r="G549" s="28">
        <v>0</v>
      </c>
      <c r="H549" s="1" t="s">
        <v>923</v>
      </c>
      <c r="I549" s="2" t="s">
        <v>104</v>
      </c>
      <c r="J549" s="2">
        <v>11</v>
      </c>
      <c r="K549" s="2">
        <v>11</v>
      </c>
      <c r="L549" s="29">
        <v>12</v>
      </c>
    </row>
    <row r="550" spans="1:12" x14ac:dyDescent="0.25">
      <c r="A550" s="77"/>
      <c r="B550" s="80"/>
      <c r="C550" s="80"/>
      <c r="D550" s="1"/>
      <c r="E550" s="28">
        <v>0</v>
      </c>
      <c r="F550" s="28">
        <v>0</v>
      </c>
      <c r="G550" s="28">
        <v>0</v>
      </c>
      <c r="H550" s="1" t="s">
        <v>906</v>
      </c>
      <c r="I550" s="2" t="s">
        <v>104</v>
      </c>
      <c r="J550" s="2">
        <v>131</v>
      </c>
      <c r="K550" s="2">
        <v>133</v>
      </c>
      <c r="L550" s="29">
        <v>134</v>
      </c>
    </row>
    <row r="551" spans="1:12" ht="30" x14ac:dyDescent="0.25">
      <c r="A551" s="77"/>
      <c r="B551" s="80"/>
      <c r="C551" s="80"/>
      <c r="D551" s="1"/>
      <c r="E551" s="28">
        <v>0</v>
      </c>
      <c r="F551" s="28">
        <v>0</v>
      </c>
      <c r="G551" s="28">
        <v>0</v>
      </c>
      <c r="H551" s="1" t="s">
        <v>924</v>
      </c>
      <c r="I551" s="2" t="s">
        <v>104</v>
      </c>
      <c r="J551" s="2">
        <v>198</v>
      </c>
      <c r="K551" s="2">
        <v>201</v>
      </c>
      <c r="L551" s="29">
        <v>202</v>
      </c>
    </row>
    <row r="552" spans="1:12" ht="15.75" thickBot="1" x14ac:dyDescent="0.3">
      <c r="A552" s="78"/>
      <c r="B552" s="81"/>
      <c r="C552" s="81"/>
      <c r="D552" s="1"/>
      <c r="E552" s="28">
        <v>0</v>
      </c>
      <c r="F552" s="28">
        <v>0</v>
      </c>
      <c r="G552" s="28">
        <v>0</v>
      </c>
      <c r="H552" s="1" t="s">
        <v>925</v>
      </c>
      <c r="I552" s="2" t="s">
        <v>104</v>
      </c>
      <c r="J552" s="2">
        <v>179</v>
      </c>
      <c r="K552" s="2">
        <v>180</v>
      </c>
      <c r="L552" s="29">
        <v>181</v>
      </c>
    </row>
    <row r="553" spans="1:12" x14ac:dyDescent="0.25">
      <c r="A553" s="76" t="s">
        <v>926</v>
      </c>
      <c r="B553" s="79" t="s">
        <v>927</v>
      </c>
      <c r="C553" s="79" t="s">
        <v>898</v>
      </c>
      <c r="D553" s="24"/>
      <c r="E553" s="25">
        <f>SUM(E554:E558)</f>
        <v>585</v>
      </c>
      <c r="F553" s="25">
        <f>SUM(F554:F558)</f>
        <v>581</v>
      </c>
      <c r="G553" s="25">
        <f>SUM(G554:G558)</f>
        <v>601</v>
      </c>
      <c r="H553" s="24" t="s">
        <v>928</v>
      </c>
      <c r="I553" s="26" t="s">
        <v>104</v>
      </c>
      <c r="J553" s="26">
        <v>14</v>
      </c>
      <c r="K553" s="26">
        <v>14</v>
      </c>
      <c r="L553" s="27">
        <v>14</v>
      </c>
    </row>
    <row r="554" spans="1:12" ht="30" x14ac:dyDescent="0.25">
      <c r="A554" s="77"/>
      <c r="B554" s="80"/>
      <c r="C554" s="80"/>
      <c r="D554" s="1" t="s">
        <v>44</v>
      </c>
      <c r="E554" s="28">
        <v>575</v>
      </c>
      <c r="F554" s="28">
        <v>581</v>
      </c>
      <c r="G554" s="28">
        <v>601</v>
      </c>
      <c r="H554" s="1" t="s">
        <v>929</v>
      </c>
      <c r="I554" s="2" t="s">
        <v>23</v>
      </c>
      <c r="J554" s="2">
        <v>10</v>
      </c>
      <c r="K554" s="2">
        <v>10</v>
      </c>
      <c r="L554" s="29">
        <v>10</v>
      </c>
    </row>
    <row r="555" spans="1:12" ht="30" x14ac:dyDescent="0.25">
      <c r="A555" s="77"/>
      <c r="B555" s="80"/>
      <c r="C555" s="80"/>
      <c r="D555" s="1" t="s">
        <v>29</v>
      </c>
      <c r="E555" s="28">
        <v>10</v>
      </c>
      <c r="F555" s="28">
        <v>0</v>
      </c>
      <c r="G555" s="28">
        <v>0</v>
      </c>
      <c r="H555" s="1" t="s">
        <v>930</v>
      </c>
      <c r="I555" s="2" t="s">
        <v>104</v>
      </c>
      <c r="J555" s="2">
        <v>10</v>
      </c>
      <c r="K555" s="2">
        <v>10</v>
      </c>
      <c r="L555" s="29">
        <v>10</v>
      </c>
    </row>
    <row r="556" spans="1:12" x14ac:dyDescent="0.25">
      <c r="A556" s="77"/>
      <c r="B556" s="80"/>
      <c r="C556" s="80"/>
      <c r="D556" s="1"/>
      <c r="E556" s="28">
        <v>0</v>
      </c>
      <c r="F556" s="28">
        <v>0</v>
      </c>
      <c r="G556" s="28">
        <v>0</v>
      </c>
      <c r="H556" s="1" t="s">
        <v>931</v>
      </c>
      <c r="I556" s="2" t="s">
        <v>104</v>
      </c>
      <c r="J556" s="2">
        <v>7</v>
      </c>
      <c r="K556" s="2">
        <v>7</v>
      </c>
      <c r="L556" s="29">
        <v>7</v>
      </c>
    </row>
    <row r="557" spans="1:12" x14ac:dyDescent="0.25">
      <c r="A557" s="77"/>
      <c r="B557" s="80"/>
      <c r="C557" s="80"/>
      <c r="D557" s="1"/>
      <c r="E557" s="28">
        <v>0</v>
      </c>
      <c r="F557" s="28">
        <v>0</v>
      </c>
      <c r="G557" s="28">
        <v>0</v>
      </c>
      <c r="H557" s="1" t="s">
        <v>906</v>
      </c>
      <c r="I557" s="2" t="s">
        <v>104</v>
      </c>
      <c r="J557" s="2">
        <v>93</v>
      </c>
      <c r="K557" s="2">
        <v>93</v>
      </c>
      <c r="L557" s="29">
        <v>95</v>
      </c>
    </row>
    <row r="558" spans="1:12" ht="15.75" thickBot="1" x14ac:dyDescent="0.3">
      <c r="A558" s="78"/>
      <c r="B558" s="81"/>
      <c r="C558" s="81"/>
      <c r="D558" s="1"/>
      <c r="E558" s="28">
        <v>0</v>
      </c>
      <c r="F558" s="28">
        <v>0</v>
      </c>
      <c r="G558" s="28">
        <v>0</v>
      </c>
      <c r="H558" s="1" t="s">
        <v>932</v>
      </c>
      <c r="I558" s="2" t="s">
        <v>104</v>
      </c>
      <c r="J558" s="2">
        <v>55</v>
      </c>
      <c r="K558" s="2">
        <v>56</v>
      </c>
      <c r="L558" s="29">
        <v>57</v>
      </c>
    </row>
    <row r="559" spans="1:12" ht="45" x14ac:dyDescent="0.25">
      <c r="A559" s="76" t="s">
        <v>933</v>
      </c>
      <c r="B559" s="79" t="s">
        <v>934</v>
      </c>
      <c r="C559" s="79" t="s">
        <v>935</v>
      </c>
      <c r="D559" s="24" t="s">
        <v>44</v>
      </c>
      <c r="E559" s="25">
        <f>SUM(E560:E560)+915.6</f>
        <v>915.6</v>
      </c>
      <c r="F559" s="25">
        <f>SUM(F560:F560)+1007.2</f>
        <v>1007.2</v>
      </c>
      <c r="G559" s="25">
        <f>SUM(G560:G560)+1108</f>
        <v>1108</v>
      </c>
      <c r="H559" s="24" t="s">
        <v>936</v>
      </c>
      <c r="I559" s="26" t="s">
        <v>104</v>
      </c>
      <c r="J559" s="26">
        <v>8</v>
      </c>
      <c r="K559" s="26">
        <v>8</v>
      </c>
      <c r="L559" s="27">
        <v>8</v>
      </c>
    </row>
    <row r="560" spans="1:12" ht="15.75" thickBot="1" x14ac:dyDescent="0.3">
      <c r="A560" s="78"/>
      <c r="B560" s="81"/>
      <c r="C560" s="81"/>
      <c r="D560" s="1"/>
      <c r="E560" s="28">
        <v>0</v>
      </c>
      <c r="F560" s="28">
        <v>0</v>
      </c>
      <c r="G560" s="28">
        <v>0</v>
      </c>
      <c r="H560" s="1" t="s">
        <v>937</v>
      </c>
      <c r="I560" s="2" t="s">
        <v>104</v>
      </c>
      <c r="J560" s="35">
        <v>2800</v>
      </c>
      <c r="K560" s="35">
        <v>3500</v>
      </c>
      <c r="L560" s="36">
        <v>5000</v>
      </c>
    </row>
    <row r="561" spans="1:12" ht="15" customHeight="1" x14ac:dyDescent="0.25">
      <c r="A561" s="76" t="s">
        <v>938</v>
      </c>
      <c r="B561" s="79" t="s">
        <v>939</v>
      </c>
      <c r="C561" s="79" t="s">
        <v>898</v>
      </c>
      <c r="D561" s="24"/>
      <c r="E561" s="25">
        <f>SUM(E562:E563)</f>
        <v>85</v>
      </c>
      <c r="F561" s="25">
        <f>SUM(F562:F563)</f>
        <v>53</v>
      </c>
      <c r="G561" s="25">
        <f>SUM(G562:G563)</f>
        <v>55</v>
      </c>
      <c r="H561" s="24" t="s">
        <v>940</v>
      </c>
      <c r="I561" s="26" t="s">
        <v>104</v>
      </c>
      <c r="J561" s="26">
        <v>25</v>
      </c>
      <c r="K561" s="26">
        <v>26</v>
      </c>
      <c r="L561" s="27">
        <v>26</v>
      </c>
    </row>
    <row r="562" spans="1:12" x14ac:dyDescent="0.25">
      <c r="A562" s="77"/>
      <c r="B562" s="80"/>
      <c r="C562" s="80"/>
      <c r="D562" s="1" t="s">
        <v>29</v>
      </c>
      <c r="E562" s="28">
        <v>32</v>
      </c>
      <c r="F562" s="28">
        <v>0</v>
      </c>
      <c r="G562" s="28">
        <v>0</v>
      </c>
      <c r="H562" s="1" t="s">
        <v>941</v>
      </c>
      <c r="I562" s="2" t="s">
        <v>23</v>
      </c>
      <c r="J562" s="2">
        <v>10</v>
      </c>
      <c r="K562" s="2">
        <v>10</v>
      </c>
      <c r="L562" s="29">
        <v>10</v>
      </c>
    </row>
    <row r="563" spans="1:12" ht="30.75" thickBot="1" x14ac:dyDescent="0.3">
      <c r="A563" s="78"/>
      <c r="B563" s="81"/>
      <c r="C563" s="81"/>
      <c r="D563" s="1" t="s">
        <v>44</v>
      </c>
      <c r="E563" s="28">
        <v>53</v>
      </c>
      <c r="F563" s="28">
        <v>53</v>
      </c>
      <c r="G563" s="28">
        <v>55</v>
      </c>
      <c r="H563" s="1" t="s">
        <v>942</v>
      </c>
      <c r="I563" s="2" t="s">
        <v>104</v>
      </c>
      <c r="J563" s="2">
        <v>14</v>
      </c>
      <c r="K563" s="2">
        <v>14</v>
      </c>
      <c r="L563" s="29">
        <v>14</v>
      </c>
    </row>
    <row r="564" spans="1:12" ht="60.75" thickBot="1" x14ac:dyDescent="0.3">
      <c r="A564" s="30" t="s">
        <v>943</v>
      </c>
      <c r="B564" s="31" t="s">
        <v>944</v>
      </c>
      <c r="C564" s="24" t="s">
        <v>898</v>
      </c>
      <c r="D564" s="24" t="s">
        <v>44</v>
      </c>
      <c r="E564" s="32">
        <v>40</v>
      </c>
      <c r="F564" s="32">
        <v>40</v>
      </c>
      <c r="G564" s="32">
        <v>40</v>
      </c>
      <c r="H564" s="24" t="s">
        <v>945</v>
      </c>
      <c r="I564" s="26" t="s">
        <v>104</v>
      </c>
      <c r="J564" s="26">
        <v>270</v>
      </c>
      <c r="K564" s="26">
        <v>350</v>
      </c>
      <c r="L564" s="27">
        <v>420</v>
      </c>
    </row>
    <row r="565" spans="1:12" ht="60" x14ac:dyDescent="0.25">
      <c r="A565" s="76" t="s">
        <v>946</v>
      </c>
      <c r="B565" s="79" t="s">
        <v>947</v>
      </c>
      <c r="C565" s="79" t="s">
        <v>898</v>
      </c>
      <c r="D565" s="24" t="s">
        <v>44</v>
      </c>
      <c r="E565" s="25">
        <f>SUM(E566:E567)+66</f>
        <v>66</v>
      </c>
      <c r="F565" s="25">
        <f>SUM(F566:F567)+72.6</f>
        <v>72.599999999999994</v>
      </c>
      <c r="G565" s="25">
        <f>SUM(G566:G567)+80</f>
        <v>80</v>
      </c>
      <c r="H565" s="24" t="s">
        <v>948</v>
      </c>
      <c r="I565" s="26" t="s">
        <v>28</v>
      </c>
      <c r="J565" s="26">
        <v>14.6</v>
      </c>
      <c r="K565" s="26">
        <v>14.9</v>
      </c>
      <c r="L565" s="27">
        <v>15.2</v>
      </c>
    </row>
    <row r="566" spans="1:12" ht="60" x14ac:dyDescent="0.25">
      <c r="A566" s="77"/>
      <c r="B566" s="80"/>
      <c r="C566" s="80"/>
      <c r="D566" s="1"/>
      <c r="E566" s="28">
        <v>0</v>
      </c>
      <c r="F566" s="28">
        <v>0</v>
      </c>
      <c r="G566" s="28">
        <v>0</v>
      </c>
      <c r="H566" s="1" t="s">
        <v>949</v>
      </c>
      <c r="I566" s="2" t="s">
        <v>104</v>
      </c>
      <c r="J566" s="2">
        <v>147</v>
      </c>
      <c r="K566" s="2">
        <v>152</v>
      </c>
      <c r="L566" s="29">
        <v>157</v>
      </c>
    </row>
    <row r="567" spans="1:12" ht="60.75" thickBot="1" x14ac:dyDescent="0.3">
      <c r="A567" s="78"/>
      <c r="B567" s="81"/>
      <c r="C567" s="81"/>
      <c r="D567" s="1"/>
      <c r="E567" s="28">
        <v>0</v>
      </c>
      <c r="F567" s="28">
        <v>0</v>
      </c>
      <c r="G567" s="28">
        <v>0</v>
      </c>
      <c r="H567" s="1" t="s">
        <v>950</v>
      </c>
      <c r="I567" s="2" t="s">
        <v>23</v>
      </c>
      <c r="J567" s="2">
        <v>1</v>
      </c>
      <c r="K567" s="2">
        <v>1</v>
      </c>
      <c r="L567" s="29">
        <v>1</v>
      </c>
    </row>
    <row r="568" spans="1:12" ht="45.75" thickBot="1" x14ac:dyDescent="0.3">
      <c r="A568" s="30" t="s">
        <v>951</v>
      </c>
      <c r="B568" s="31" t="s">
        <v>952</v>
      </c>
      <c r="C568" s="24" t="s">
        <v>953</v>
      </c>
      <c r="D568" s="24" t="s">
        <v>44</v>
      </c>
      <c r="E568" s="32">
        <v>80.400000000000006</v>
      </c>
      <c r="F568" s="32">
        <v>80</v>
      </c>
      <c r="G568" s="32">
        <v>90</v>
      </c>
      <c r="H568" s="24" t="s">
        <v>954</v>
      </c>
      <c r="I568" s="26" t="s">
        <v>28</v>
      </c>
      <c r="J568" s="26">
        <v>18.399999999999999</v>
      </c>
      <c r="K568" s="26">
        <v>18.5</v>
      </c>
      <c r="L568" s="27">
        <v>18.600000000000001</v>
      </c>
    </row>
    <row r="569" spans="1:12" ht="29.25" customHeight="1" x14ac:dyDescent="0.25">
      <c r="A569" s="68" t="s">
        <v>955</v>
      </c>
      <c r="B569" s="70" t="s">
        <v>956</v>
      </c>
      <c r="C569" s="71"/>
      <c r="D569" s="72"/>
      <c r="E569" s="15">
        <f>E570+E571+E572+E578+E579+E580+E582+E587</f>
        <v>11578.1</v>
      </c>
      <c r="F569" s="15">
        <f>F570+F571+F572+F578+F579+F580+F582+F587</f>
        <v>5998</v>
      </c>
      <c r="G569" s="15">
        <f>G570+G571+G572+G578+G579+G580+G582+G587</f>
        <v>3478.8</v>
      </c>
      <c r="H569" s="16" t="s">
        <v>957</v>
      </c>
      <c r="I569" s="17" t="s">
        <v>23</v>
      </c>
      <c r="J569" s="17">
        <v>12</v>
      </c>
      <c r="K569" s="17">
        <v>13</v>
      </c>
      <c r="L569" s="34">
        <v>15</v>
      </c>
    </row>
    <row r="570" spans="1:12" ht="30" x14ac:dyDescent="0.25">
      <c r="A570" s="102"/>
      <c r="B570" s="103"/>
      <c r="C570" s="104"/>
      <c r="D570" s="105"/>
      <c r="E570" s="20">
        <v>0</v>
      </c>
      <c r="F570" s="20">
        <v>0</v>
      </c>
      <c r="G570" s="20">
        <v>0</v>
      </c>
      <c r="H570" s="21" t="s">
        <v>958</v>
      </c>
      <c r="I570" s="22" t="s">
        <v>23</v>
      </c>
      <c r="J570" s="22">
        <v>20</v>
      </c>
      <c r="K570" s="22">
        <v>20</v>
      </c>
      <c r="L570" s="23">
        <v>21</v>
      </c>
    </row>
    <row r="571" spans="1:12" ht="45.75" thickBot="1" x14ac:dyDescent="0.3">
      <c r="A571" s="69"/>
      <c r="B571" s="73"/>
      <c r="C571" s="74"/>
      <c r="D571" s="75"/>
      <c r="E571" s="20">
        <v>0</v>
      </c>
      <c r="F571" s="20">
        <v>0</v>
      </c>
      <c r="G571" s="20">
        <v>0</v>
      </c>
      <c r="H571" s="21" t="s">
        <v>959</v>
      </c>
      <c r="I571" s="22" t="s">
        <v>28</v>
      </c>
      <c r="J571" s="64">
        <v>68.75</v>
      </c>
      <c r="K571" s="22">
        <v>75</v>
      </c>
      <c r="L571" s="23">
        <v>75</v>
      </c>
    </row>
    <row r="572" spans="1:12" x14ac:dyDescent="0.25">
      <c r="A572" s="76" t="s">
        <v>960</v>
      </c>
      <c r="B572" s="79" t="s">
        <v>961</v>
      </c>
      <c r="C572" s="79" t="s">
        <v>962</v>
      </c>
      <c r="D572" s="24"/>
      <c r="E572" s="25">
        <f>SUM(E573:E577)</f>
        <v>10908.1</v>
      </c>
      <c r="F572" s="25">
        <f>SUM(F573:F577)</f>
        <v>5998</v>
      </c>
      <c r="G572" s="25">
        <f>SUM(G573:G577)</f>
        <v>2678.8</v>
      </c>
      <c r="H572" s="24" t="s">
        <v>963</v>
      </c>
      <c r="I572" s="26" t="s">
        <v>28</v>
      </c>
      <c r="J572" s="26">
        <v>40</v>
      </c>
      <c r="K572" s="26">
        <v>80</v>
      </c>
      <c r="L572" s="27">
        <v>100</v>
      </c>
    </row>
    <row r="573" spans="1:12" x14ac:dyDescent="0.25">
      <c r="A573" s="77"/>
      <c r="B573" s="80"/>
      <c r="C573" s="80"/>
      <c r="D573" s="1" t="s">
        <v>539</v>
      </c>
      <c r="E573" s="28">
        <v>4965</v>
      </c>
      <c r="F573" s="28">
        <v>0</v>
      </c>
      <c r="G573" s="28">
        <v>0</v>
      </c>
      <c r="H573" s="106" t="s">
        <v>964</v>
      </c>
      <c r="I573" s="107" t="s">
        <v>28</v>
      </c>
      <c r="J573" s="107"/>
      <c r="K573" s="107"/>
      <c r="L573" s="108">
        <v>100</v>
      </c>
    </row>
    <row r="574" spans="1:12" x14ac:dyDescent="0.25">
      <c r="A574" s="77"/>
      <c r="B574" s="80"/>
      <c r="C574" s="80"/>
      <c r="D574" s="1" t="s">
        <v>29</v>
      </c>
      <c r="E574" s="28">
        <v>2282.6</v>
      </c>
      <c r="F574" s="28"/>
      <c r="G574" s="28"/>
      <c r="H574" s="80"/>
      <c r="I574" s="100"/>
      <c r="J574" s="100"/>
      <c r="K574" s="100"/>
      <c r="L574" s="110"/>
    </row>
    <row r="575" spans="1:12" x14ac:dyDescent="0.25">
      <c r="A575" s="77"/>
      <c r="B575" s="80"/>
      <c r="C575" s="80"/>
      <c r="D575" s="1" t="s">
        <v>44</v>
      </c>
      <c r="E575" s="28">
        <v>30.5</v>
      </c>
      <c r="F575" s="28">
        <v>1230.5</v>
      </c>
      <c r="G575" s="28">
        <v>1273.4000000000001</v>
      </c>
      <c r="H575" s="80"/>
      <c r="I575" s="100"/>
      <c r="J575" s="100"/>
      <c r="K575" s="100"/>
      <c r="L575" s="110"/>
    </row>
    <row r="576" spans="1:12" x14ac:dyDescent="0.25">
      <c r="A576" s="77"/>
      <c r="B576" s="80"/>
      <c r="C576" s="80"/>
      <c r="D576" s="1" t="s">
        <v>31</v>
      </c>
      <c r="E576" s="28">
        <v>630</v>
      </c>
      <c r="F576" s="28">
        <v>1050</v>
      </c>
      <c r="G576" s="28">
        <v>416</v>
      </c>
      <c r="H576" s="80"/>
      <c r="I576" s="100"/>
      <c r="J576" s="100"/>
      <c r="K576" s="100"/>
      <c r="L576" s="110"/>
    </row>
    <row r="577" spans="1:12" ht="15.75" thickBot="1" x14ac:dyDescent="0.3">
      <c r="A577" s="78"/>
      <c r="B577" s="81"/>
      <c r="C577" s="81"/>
      <c r="D577" s="1" t="s">
        <v>33</v>
      </c>
      <c r="E577" s="28">
        <v>3000</v>
      </c>
      <c r="F577" s="28">
        <v>3717.5</v>
      </c>
      <c r="G577" s="28">
        <v>989.4</v>
      </c>
      <c r="H577" s="81"/>
      <c r="I577" s="101"/>
      <c r="J577" s="101"/>
      <c r="K577" s="101"/>
      <c r="L577" s="109"/>
    </row>
    <row r="578" spans="1:12" ht="30.75" thickBot="1" x14ac:dyDescent="0.3">
      <c r="A578" s="30" t="s">
        <v>965</v>
      </c>
      <c r="B578" s="31" t="s">
        <v>966</v>
      </c>
      <c r="C578" s="24" t="s">
        <v>967</v>
      </c>
      <c r="D578" s="24" t="s">
        <v>44</v>
      </c>
      <c r="E578" s="32">
        <v>0</v>
      </c>
      <c r="F578" s="32">
        <v>0</v>
      </c>
      <c r="G578" s="32">
        <v>500</v>
      </c>
      <c r="H578" s="24" t="s">
        <v>968</v>
      </c>
      <c r="I578" s="26" t="s">
        <v>28</v>
      </c>
      <c r="J578" s="26">
        <v>20</v>
      </c>
      <c r="K578" s="26">
        <v>60</v>
      </c>
      <c r="L578" s="27">
        <v>100</v>
      </c>
    </row>
    <row r="579" spans="1:12" ht="45.75" thickBot="1" x14ac:dyDescent="0.3">
      <c r="A579" s="30" t="s">
        <v>969</v>
      </c>
      <c r="B579" s="31" t="s">
        <v>970</v>
      </c>
      <c r="C579" s="24" t="s">
        <v>971</v>
      </c>
      <c r="D579" s="24" t="s">
        <v>44</v>
      </c>
      <c r="E579" s="32">
        <v>70</v>
      </c>
      <c r="F579" s="32">
        <v>0</v>
      </c>
      <c r="G579" s="32">
        <v>0</v>
      </c>
      <c r="H579" s="24" t="s">
        <v>333</v>
      </c>
      <c r="I579" s="26" t="s">
        <v>23</v>
      </c>
      <c r="J579" s="26">
        <v>1</v>
      </c>
      <c r="K579" s="26"/>
      <c r="L579" s="27"/>
    </row>
    <row r="580" spans="1:12" x14ac:dyDescent="0.25">
      <c r="A580" s="76" t="s">
        <v>972</v>
      </c>
      <c r="B580" s="79" t="s">
        <v>973</v>
      </c>
      <c r="C580" s="79" t="s">
        <v>974</v>
      </c>
      <c r="D580" s="24"/>
      <c r="E580" s="25">
        <f>SUM(E581:E581)</f>
        <v>50</v>
      </c>
      <c r="F580" s="25">
        <f>SUM(F581:F581)</f>
        <v>0</v>
      </c>
      <c r="G580" s="25">
        <f>SUM(G581:G581)</f>
        <v>0</v>
      </c>
      <c r="H580" s="79" t="s">
        <v>975</v>
      </c>
      <c r="I580" s="99" t="s">
        <v>23</v>
      </c>
      <c r="J580" s="99">
        <v>1</v>
      </c>
      <c r="K580" s="99"/>
      <c r="L580" s="111"/>
    </row>
    <row r="581" spans="1:12" ht="15.75" thickBot="1" x14ac:dyDescent="0.3">
      <c r="A581" s="78"/>
      <c r="B581" s="81"/>
      <c r="C581" s="81"/>
      <c r="D581" s="1" t="s">
        <v>29</v>
      </c>
      <c r="E581" s="28">
        <v>50</v>
      </c>
      <c r="F581" s="28">
        <v>0</v>
      </c>
      <c r="G581" s="28">
        <v>0</v>
      </c>
      <c r="H581" s="81"/>
      <c r="I581" s="101"/>
      <c r="J581" s="101"/>
      <c r="K581" s="101"/>
      <c r="L581" s="109"/>
    </row>
    <row r="582" spans="1:12" ht="30" x14ac:dyDescent="0.25">
      <c r="A582" s="76" t="s">
        <v>976</v>
      </c>
      <c r="B582" s="79" t="s">
        <v>977</v>
      </c>
      <c r="C582" s="79" t="s">
        <v>967</v>
      </c>
      <c r="D582" s="24"/>
      <c r="E582" s="25">
        <f>SUM(E583:E586)</f>
        <v>510</v>
      </c>
      <c r="F582" s="25">
        <f>SUM(F583:F586)</f>
        <v>0</v>
      </c>
      <c r="G582" s="25">
        <f>SUM(G583:G586)</f>
        <v>300</v>
      </c>
      <c r="H582" s="24" t="s">
        <v>978</v>
      </c>
      <c r="I582" s="26" t="s">
        <v>28</v>
      </c>
      <c r="J582" s="26">
        <v>100</v>
      </c>
      <c r="K582" s="26"/>
      <c r="L582" s="27"/>
    </row>
    <row r="583" spans="1:12" ht="38.25" customHeight="1" x14ac:dyDescent="0.25">
      <c r="A583" s="77"/>
      <c r="B583" s="80"/>
      <c r="C583" s="80"/>
      <c r="D583" s="1" t="s">
        <v>291</v>
      </c>
      <c r="E583" s="28">
        <v>0</v>
      </c>
      <c r="F583" s="28">
        <v>0</v>
      </c>
      <c r="G583" s="28">
        <v>0</v>
      </c>
      <c r="H583" s="106" t="s">
        <v>979</v>
      </c>
      <c r="I583" s="107" t="s">
        <v>23</v>
      </c>
      <c r="J583" s="107"/>
      <c r="K583" s="107"/>
      <c r="L583" s="108">
        <v>1</v>
      </c>
    </row>
    <row r="584" spans="1:12" x14ac:dyDescent="0.25">
      <c r="A584" s="77"/>
      <c r="B584" s="80"/>
      <c r="C584" s="80"/>
      <c r="D584" s="1" t="s">
        <v>29</v>
      </c>
      <c r="E584" s="28">
        <v>10</v>
      </c>
      <c r="F584" s="28"/>
      <c r="G584" s="28"/>
      <c r="H584" s="80"/>
      <c r="I584" s="100"/>
      <c r="J584" s="100"/>
      <c r="K584" s="100"/>
      <c r="L584" s="110"/>
    </row>
    <row r="585" spans="1:12" x14ac:dyDescent="0.25">
      <c r="A585" s="77"/>
      <c r="B585" s="80"/>
      <c r="C585" s="80"/>
      <c r="D585" s="1" t="s">
        <v>44</v>
      </c>
      <c r="E585" s="28">
        <v>221</v>
      </c>
      <c r="F585" s="28">
        <v>0</v>
      </c>
      <c r="G585" s="28">
        <v>300</v>
      </c>
      <c r="H585" s="80"/>
      <c r="I585" s="100"/>
      <c r="J585" s="100"/>
      <c r="K585" s="100"/>
      <c r="L585" s="110"/>
    </row>
    <row r="586" spans="1:12" ht="15.75" thickBot="1" x14ac:dyDescent="0.3">
      <c r="A586" s="78"/>
      <c r="B586" s="81"/>
      <c r="C586" s="81"/>
      <c r="D586" s="1" t="s">
        <v>31</v>
      </c>
      <c r="E586" s="28">
        <v>279</v>
      </c>
      <c r="F586" s="28"/>
      <c r="G586" s="28"/>
      <c r="H586" s="81"/>
      <c r="I586" s="101"/>
      <c r="J586" s="101"/>
      <c r="K586" s="101"/>
      <c r="L586" s="109"/>
    </row>
    <row r="587" spans="1:12" ht="30.75" thickBot="1" x14ac:dyDescent="0.3">
      <c r="A587" s="30" t="s">
        <v>980</v>
      </c>
      <c r="B587" s="31" t="s">
        <v>981</v>
      </c>
      <c r="C587" s="24" t="s">
        <v>1345</v>
      </c>
      <c r="D587" s="24" t="s">
        <v>29</v>
      </c>
      <c r="E587" s="32">
        <v>40</v>
      </c>
      <c r="F587" s="32">
        <v>0</v>
      </c>
      <c r="G587" s="32">
        <v>0</v>
      </c>
      <c r="H587" s="1" t="s">
        <v>1346</v>
      </c>
      <c r="I587" s="2" t="s">
        <v>23</v>
      </c>
      <c r="J587" s="2">
        <v>1</v>
      </c>
      <c r="K587" s="26"/>
      <c r="L587" s="27"/>
    </row>
    <row r="588" spans="1:12" ht="30" customHeight="1" thickBot="1" x14ac:dyDescent="0.3">
      <c r="A588" s="12" t="s">
        <v>982</v>
      </c>
      <c r="B588" s="13" t="s">
        <v>983</v>
      </c>
      <c r="C588" s="66" t="s">
        <v>984</v>
      </c>
      <c r="D588" s="67"/>
      <c r="E588" s="14">
        <f>E589+E639+E713+E724+0.1</f>
        <v>161680</v>
      </c>
      <c r="F588" s="14">
        <f>F589+F639+F713+F724</f>
        <v>159346.9</v>
      </c>
      <c r="G588" s="14">
        <f>G589+G639+G713+G724+0.1</f>
        <v>157841.09999999998</v>
      </c>
      <c r="H588" s="93"/>
      <c r="I588" s="94"/>
      <c r="J588" s="94"/>
      <c r="K588" s="94"/>
      <c r="L588" s="95"/>
    </row>
    <row r="589" spans="1:12" ht="30" x14ac:dyDescent="0.25">
      <c r="A589" s="68" t="s">
        <v>985</v>
      </c>
      <c r="B589" s="70" t="s">
        <v>986</v>
      </c>
      <c r="C589" s="71"/>
      <c r="D589" s="72"/>
      <c r="E589" s="15">
        <f>E590+E591+E592+E599+E600+E604+E611+E619+E621+E624+E626+E630+E634+E638</f>
        <v>2319.6999999999998</v>
      </c>
      <c r="F589" s="15">
        <f>F590+F591+F592+F599+F600+F604+F611+F619+F621+F624+F626+F630+F634+F638</f>
        <v>2127.2999999999997</v>
      </c>
      <c r="G589" s="15">
        <f>G590+G591+G592+G599+G600+G604+G611+G619+G621+G624+G626+G630+G634+G638</f>
        <v>1803.4</v>
      </c>
      <c r="H589" s="16" t="s">
        <v>987</v>
      </c>
      <c r="I589" s="17" t="s">
        <v>28</v>
      </c>
      <c r="J589" s="17">
        <v>93</v>
      </c>
      <c r="K589" s="17">
        <v>93</v>
      </c>
      <c r="L589" s="34">
        <v>93</v>
      </c>
    </row>
    <row r="590" spans="1:12" ht="45" x14ac:dyDescent="0.25">
      <c r="A590" s="102"/>
      <c r="B590" s="103"/>
      <c r="C590" s="104"/>
      <c r="D590" s="105"/>
      <c r="E590" s="20">
        <v>0</v>
      </c>
      <c r="F590" s="20">
        <v>0</v>
      </c>
      <c r="G590" s="20">
        <v>0</v>
      </c>
      <c r="H590" s="21" t="s">
        <v>988</v>
      </c>
      <c r="I590" s="22" t="s">
        <v>28</v>
      </c>
      <c r="J590" s="22">
        <v>68</v>
      </c>
      <c r="K590" s="22">
        <v>68</v>
      </c>
      <c r="L590" s="23">
        <v>68</v>
      </c>
    </row>
    <row r="591" spans="1:12" ht="30.75" thickBot="1" x14ac:dyDescent="0.3">
      <c r="A591" s="69"/>
      <c r="B591" s="73"/>
      <c r="C591" s="74"/>
      <c r="D591" s="75"/>
      <c r="E591" s="20">
        <v>0</v>
      </c>
      <c r="F591" s="20">
        <v>0</v>
      </c>
      <c r="G591" s="20">
        <v>0</v>
      </c>
      <c r="H591" s="21" t="s">
        <v>989</v>
      </c>
      <c r="I591" s="22" t="s">
        <v>104</v>
      </c>
      <c r="J591" s="22">
        <v>0.85</v>
      </c>
      <c r="K591" s="22">
        <v>0.85</v>
      </c>
      <c r="L591" s="23">
        <v>0.85</v>
      </c>
    </row>
    <row r="592" spans="1:12" ht="30" x14ac:dyDescent="0.25">
      <c r="A592" s="76" t="s">
        <v>990</v>
      </c>
      <c r="B592" s="79" t="s">
        <v>991</v>
      </c>
      <c r="C592" s="79" t="s">
        <v>984</v>
      </c>
      <c r="D592" s="24" t="s">
        <v>44</v>
      </c>
      <c r="E592" s="25">
        <f>SUM(E593:E598)+244.5</f>
        <v>244.5</v>
      </c>
      <c r="F592" s="25">
        <f>SUM(F593:F598)+300.1</f>
        <v>300.10000000000002</v>
      </c>
      <c r="G592" s="25">
        <f>SUM(G593:G598)+285.2</f>
        <v>285.2</v>
      </c>
      <c r="H592" s="24" t="s">
        <v>992</v>
      </c>
      <c r="I592" s="26" t="s">
        <v>23</v>
      </c>
      <c r="J592" s="26">
        <v>3</v>
      </c>
      <c r="K592" s="26">
        <v>6</v>
      </c>
      <c r="L592" s="27">
        <v>5</v>
      </c>
    </row>
    <row r="593" spans="1:12" x14ac:dyDescent="0.25">
      <c r="A593" s="77"/>
      <c r="B593" s="80"/>
      <c r="C593" s="80"/>
      <c r="D593" s="1"/>
      <c r="E593" s="28">
        <v>0</v>
      </c>
      <c r="F593" s="28">
        <v>0</v>
      </c>
      <c r="G593" s="28">
        <v>0</v>
      </c>
      <c r="H593" s="1" t="s">
        <v>993</v>
      </c>
      <c r="I593" s="2" t="s">
        <v>104</v>
      </c>
      <c r="J593" s="2">
        <v>100</v>
      </c>
      <c r="K593" s="2">
        <v>100</v>
      </c>
      <c r="L593" s="29">
        <v>100</v>
      </c>
    </row>
    <row r="594" spans="1:12" x14ac:dyDescent="0.25">
      <c r="A594" s="77"/>
      <c r="B594" s="80"/>
      <c r="C594" s="80"/>
      <c r="D594" s="1"/>
      <c r="E594" s="28">
        <v>0</v>
      </c>
      <c r="F594" s="28">
        <v>0</v>
      </c>
      <c r="G594" s="28">
        <v>0</v>
      </c>
      <c r="H594" s="1" t="s">
        <v>994</v>
      </c>
      <c r="I594" s="2" t="s">
        <v>23</v>
      </c>
      <c r="J594" s="2">
        <v>10</v>
      </c>
      <c r="K594" s="2">
        <v>10</v>
      </c>
      <c r="L594" s="29">
        <v>10</v>
      </c>
    </row>
    <row r="595" spans="1:12" ht="30" x14ac:dyDescent="0.25">
      <c r="A595" s="77"/>
      <c r="B595" s="80"/>
      <c r="C595" s="80"/>
      <c r="D595" s="1"/>
      <c r="E595" s="28">
        <v>0</v>
      </c>
      <c r="F595" s="28">
        <v>0</v>
      </c>
      <c r="G595" s="28">
        <v>0</v>
      </c>
      <c r="H595" s="1" t="s">
        <v>995</v>
      </c>
      <c r="I595" s="2" t="s">
        <v>104</v>
      </c>
      <c r="J595" s="2">
        <v>100</v>
      </c>
      <c r="K595" s="2">
        <v>100</v>
      </c>
      <c r="L595" s="29">
        <v>100</v>
      </c>
    </row>
    <row r="596" spans="1:12" x14ac:dyDescent="0.25">
      <c r="A596" s="77"/>
      <c r="B596" s="80"/>
      <c r="C596" s="80"/>
      <c r="D596" s="1"/>
      <c r="E596" s="28">
        <v>0</v>
      </c>
      <c r="F596" s="28">
        <v>0</v>
      </c>
      <c r="G596" s="28">
        <v>0</v>
      </c>
      <c r="H596" s="1" t="s">
        <v>996</v>
      </c>
      <c r="I596" s="2" t="s">
        <v>104</v>
      </c>
      <c r="J596" s="2">
        <v>360</v>
      </c>
      <c r="K596" s="2">
        <v>360</v>
      </c>
      <c r="L596" s="29">
        <v>360</v>
      </c>
    </row>
    <row r="597" spans="1:12" x14ac:dyDescent="0.25">
      <c r="A597" s="77"/>
      <c r="B597" s="80"/>
      <c r="C597" s="80"/>
      <c r="D597" s="1"/>
      <c r="E597" s="28">
        <v>0</v>
      </c>
      <c r="F597" s="28">
        <v>0</v>
      </c>
      <c r="G597" s="28">
        <v>0</v>
      </c>
      <c r="H597" s="1" t="s">
        <v>997</v>
      </c>
      <c r="I597" s="2" t="s">
        <v>104</v>
      </c>
      <c r="J597" s="35">
        <v>1300</v>
      </c>
      <c r="K597" s="35">
        <v>1300</v>
      </c>
      <c r="L597" s="36">
        <v>1300</v>
      </c>
    </row>
    <row r="598" spans="1:12" ht="30.75" thickBot="1" x14ac:dyDescent="0.3">
      <c r="A598" s="78"/>
      <c r="B598" s="81"/>
      <c r="C598" s="81"/>
      <c r="D598" s="1"/>
      <c r="E598" s="28">
        <v>0</v>
      </c>
      <c r="F598" s="28">
        <v>0</v>
      </c>
      <c r="G598" s="28">
        <v>0</v>
      </c>
      <c r="H598" s="1" t="s">
        <v>998</v>
      </c>
      <c r="I598" s="2" t="s">
        <v>104</v>
      </c>
      <c r="J598" s="35">
        <v>1000</v>
      </c>
      <c r="K598" s="35">
        <v>1000</v>
      </c>
      <c r="L598" s="36">
        <v>1000</v>
      </c>
    </row>
    <row r="599" spans="1:12" ht="45.75" thickBot="1" x14ac:dyDescent="0.3">
      <c r="A599" s="30" t="s">
        <v>999</v>
      </c>
      <c r="B599" s="31" t="s">
        <v>1000</v>
      </c>
      <c r="C599" s="24" t="s">
        <v>984</v>
      </c>
      <c r="D599" s="24" t="s">
        <v>44</v>
      </c>
      <c r="E599" s="32">
        <v>196.1</v>
      </c>
      <c r="F599" s="32">
        <v>197</v>
      </c>
      <c r="G599" s="32">
        <v>197</v>
      </c>
      <c r="H599" s="24" t="s">
        <v>1001</v>
      </c>
      <c r="I599" s="26" t="s">
        <v>23</v>
      </c>
      <c r="J599" s="26">
        <v>30</v>
      </c>
      <c r="K599" s="26">
        <v>30</v>
      </c>
      <c r="L599" s="27">
        <v>30</v>
      </c>
    </row>
    <row r="600" spans="1:12" ht="38.25" customHeight="1" x14ac:dyDescent="0.25">
      <c r="A600" s="76" t="s">
        <v>1002</v>
      </c>
      <c r="B600" s="79" t="s">
        <v>1003</v>
      </c>
      <c r="C600" s="79" t="s">
        <v>984</v>
      </c>
      <c r="D600" s="24" t="s">
        <v>44</v>
      </c>
      <c r="E600" s="25">
        <f>SUM(E601:E603)+7</f>
        <v>7</v>
      </c>
      <c r="F600" s="25">
        <f>SUM(F601:F603)+7</f>
        <v>7</v>
      </c>
      <c r="G600" s="25">
        <f>SUM(G601:G603)+7</f>
        <v>7</v>
      </c>
      <c r="H600" s="24" t="s">
        <v>1004</v>
      </c>
      <c r="I600" s="26" t="s">
        <v>23</v>
      </c>
      <c r="J600" s="26">
        <v>1</v>
      </c>
      <c r="K600" s="26">
        <v>1</v>
      </c>
      <c r="L600" s="27">
        <v>1</v>
      </c>
    </row>
    <row r="601" spans="1:12" ht="30" x14ac:dyDescent="0.25">
      <c r="A601" s="77"/>
      <c r="B601" s="80"/>
      <c r="C601" s="80"/>
      <c r="D601" s="1"/>
      <c r="E601" s="28">
        <v>0</v>
      </c>
      <c r="F601" s="28">
        <v>0</v>
      </c>
      <c r="G601" s="28">
        <v>0</v>
      </c>
      <c r="H601" s="1" t="s">
        <v>1005</v>
      </c>
      <c r="I601" s="2" t="s">
        <v>23</v>
      </c>
      <c r="J601" s="2">
        <v>1</v>
      </c>
      <c r="K601" s="2">
        <v>1</v>
      </c>
      <c r="L601" s="29">
        <v>1</v>
      </c>
    </row>
    <row r="602" spans="1:12" x14ac:dyDescent="0.25">
      <c r="A602" s="77"/>
      <c r="B602" s="80"/>
      <c r="C602" s="80"/>
      <c r="D602" s="1"/>
      <c r="E602" s="28">
        <v>0</v>
      </c>
      <c r="F602" s="28">
        <v>0</v>
      </c>
      <c r="G602" s="28">
        <v>0</v>
      </c>
      <c r="H602" s="1" t="s">
        <v>1006</v>
      </c>
      <c r="I602" s="2" t="s">
        <v>23</v>
      </c>
      <c r="J602" s="2">
        <v>1</v>
      </c>
      <c r="K602" s="2">
        <v>1</v>
      </c>
      <c r="L602" s="29">
        <v>1</v>
      </c>
    </row>
    <row r="603" spans="1:12" ht="30.75" thickBot="1" x14ac:dyDescent="0.3">
      <c r="A603" s="78"/>
      <c r="B603" s="81"/>
      <c r="C603" s="81"/>
      <c r="D603" s="1"/>
      <c r="E603" s="28">
        <v>0</v>
      </c>
      <c r="F603" s="28">
        <v>0</v>
      </c>
      <c r="G603" s="28">
        <v>0</v>
      </c>
      <c r="H603" s="1" t="s">
        <v>1007</v>
      </c>
      <c r="I603" s="2" t="s">
        <v>23</v>
      </c>
      <c r="J603" s="2">
        <v>1</v>
      </c>
      <c r="K603" s="2">
        <v>1</v>
      </c>
      <c r="L603" s="29">
        <v>1</v>
      </c>
    </row>
    <row r="604" spans="1:12" ht="30" x14ac:dyDescent="0.25">
      <c r="A604" s="76" t="s">
        <v>1008</v>
      </c>
      <c r="B604" s="79" t="s">
        <v>1009</v>
      </c>
      <c r="C604" s="79" t="s">
        <v>984</v>
      </c>
      <c r="D604" s="24" t="s">
        <v>44</v>
      </c>
      <c r="E604" s="25">
        <f>SUM(E605:E610)+145</f>
        <v>145</v>
      </c>
      <c r="F604" s="25">
        <f>SUM(F605:F610)+150</f>
        <v>150</v>
      </c>
      <c r="G604" s="25">
        <f>SUM(G605:G610)+150</f>
        <v>150</v>
      </c>
      <c r="H604" s="24" t="s">
        <v>1010</v>
      </c>
      <c r="I604" s="26" t="s">
        <v>28</v>
      </c>
      <c r="J604" s="26">
        <v>17.5</v>
      </c>
      <c r="K604" s="26">
        <v>17.5</v>
      </c>
      <c r="L604" s="27">
        <v>17.5</v>
      </c>
    </row>
    <row r="605" spans="1:12" ht="30" x14ac:dyDescent="0.25">
      <c r="A605" s="77"/>
      <c r="B605" s="80"/>
      <c r="C605" s="80"/>
      <c r="D605" s="1"/>
      <c r="E605" s="28">
        <v>0</v>
      </c>
      <c r="F605" s="28">
        <v>0</v>
      </c>
      <c r="G605" s="28">
        <v>0</v>
      </c>
      <c r="H605" s="1" t="s">
        <v>1011</v>
      </c>
      <c r="I605" s="2" t="s">
        <v>23</v>
      </c>
      <c r="J605" s="2">
        <v>9</v>
      </c>
      <c r="K605" s="2">
        <v>9</v>
      </c>
      <c r="L605" s="29">
        <v>9</v>
      </c>
    </row>
    <row r="606" spans="1:12" ht="45" x14ac:dyDescent="0.25">
      <c r="A606" s="77"/>
      <c r="B606" s="80"/>
      <c r="C606" s="80"/>
      <c r="D606" s="1"/>
      <c r="E606" s="28">
        <v>0</v>
      </c>
      <c r="F606" s="28">
        <v>0</v>
      </c>
      <c r="G606" s="28">
        <v>0</v>
      </c>
      <c r="H606" s="1" t="s">
        <v>1012</v>
      </c>
      <c r="I606" s="2" t="s">
        <v>28</v>
      </c>
      <c r="J606" s="2">
        <v>42.4</v>
      </c>
      <c r="K606" s="2">
        <v>42.4</v>
      </c>
      <c r="L606" s="29">
        <v>42.4</v>
      </c>
    </row>
    <row r="607" spans="1:12" ht="30" x14ac:dyDescent="0.25">
      <c r="A607" s="77"/>
      <c r="B607" s="80"/>
      <c r="C607" s="80"/>
      <c r="D607" s="1"/>
      <c r="E607" s="28">
        <v>0</v>
      </c>
      <c r="F607" s="28">
        <v>0</v>
      </c>
      <c r="G607" s="28">
        <v>0</v>
      </c>
      <c r="H607" s="1" t="s">
        <v>1013</v>
      </c>
      <c r="I607" s="2" t="s">
        <v>23</v>
      </c>
      <c r="J607" s="2">
        <v>19</v>
      </c>
      <c r="K607" s="2">
        <v>19</v>
      </c>
      <c r="L607" s="29">
        <v>19</v>
      </c>
    </row>
    <row r="608" spans="1:12" ht="30" x14ac:dyDescent="0.25">
      <c r="A608" s="77"/>
      <c r="B608" s="80"/>
      <c r="C608" s="80"/>
      <c r="D608" s="1"/>
      <c r="E608" s="28">
        <v>0</v>
      </c>
      <c r="F608" s="28">
        <v>0</v>
      </c>
      <c r="G608" s="28">
        <v>0</v>
      </c>
      <c r="H608" s="1" t="s">
        <v>1014</v>
      </c>
      <c r="I608" s="2" t="s">
        <v>23</v>
      </c>
      <c r="J608" s="2">
        <v>75</v>
      </c>
      <c r="K608" s="2">
        <v>75</v>
      </c>
      <c r="L608" s="29">
        <v>75</v>
      </c>
    </row>
    <row r="609" spans="1:12" x14ac:dyDescent="0.25">
      <c r="A609" s="77"/>
      <c r="B609" s="80"/>
      <c r="C609" s="80"/>
      <c r="D609" s="1"/>
      <c r="E609" s="28">
        <v>0</v>
      </c>
      <c r="F609" s="28">
        <v>0</v>
      </c>
      <c r="G609" s="28">
        <v>0</v>
      </c>
      <c r="H609" s="1" t="s">
        <v>1015</v>
      </c>
      <c r="I609" s="2" t="s">
        <v>23</v>
      </c>
      <c r="J609" s="2">
        <v>2</v>
      </c>
      <c r="K609" s="2">
        <v>2</v>
      </c>
      <c r="L609" s="29">
        <v>2</v>
      </c>
    </row>
    <row r="610" spans="1:12" ht="15.75" thickBot="1" x14ac:dyDescent="0.3">
      <c r="A610" s="78"/>
      <c r="B610" s="81"/>
      <c r="C610" s="81"/>
      <c r="D610" s="1"/>
      <c r="E610" s="28">
        <v>0</v>
      </c>
      <c r="F610" s="28">
        <v>0</v>
      </c>
      <c r="G610" s="28">
        <v>0</v>
      </c>
      <c r="H610" s="1" t="s">
        <v>1016</v>
      </c>
      <c r="I610" s="2" t="s">
        <v>123</v>
      </c>
      <c r="J610" s="2">
        <v>1</v>
      </c>
      <c r="K610" s="2">
        <v>1</v>
      </c>
      <c r="L610" s="29">
        <v>1</v>
      </c>
    </row>
    <row r="611" spans="1:12" ht="45" x14ac:dyDescent="0.25">
      <c r="A611" s="76" t="s">
        <v>1017</v>
      </c>
      <c r="B611" s="79" t="s">
        <v>1018</v>
      </c>
      <c r="C611" s="79" t="s">
        <v>984</v>
      </c>
      <c r="D611" s="24" t="s">
        <v>44</v>
      </c>
      <c r="E611" s="25">
        <f>SUM(E612:E618)+384.7</f>
        <v>384.7</v>
      </c>
      <c r="F611" s="25">
        <f>SUM(F612:F618)+385</f>
        <v>385</v>
      </c>
      <c r="G611" s="25">
        <f>SUM(G612:G618)+388</f>
        <v>388</v>
      </c>
      <c r="H611" s="24" t="s">
        <v>1019</v>
      </c>
      <c r="I611" s="26" t="s">
        <v>23</v>
      </c>
      <c r="J611" s="26">
        <v>6</v>
      </c>
      <c r="K611" s="26">
        <v>6</v>
      </c>
      <c r="L611" s="27">
        <v>6</v>
      </c>
    </row>
    <row r="612" spans="1:12" ht="41.25" customHeight="1" x14ac:dyDescent="0.25">
      <c r="A612" s="77"/>
      <c r="B612" s="80"/>
      <c r="C612" s="80"/>
      <c r="D612" s="1"/>
      <c r="E612" s="28">
        <v>0</v>
      </c>
      <c r="F612" s="28">
        <v>0</v>
      </c>
      <c r="G612" s="28">
        <v>0</v>
      </c>
      <c r="H612" s="1" t="s">
        <v>1020</v>
      </c>
      <c r="I612" s="2" t="s">
        <v>23</v>
      </c>
      <c r="J612" s="2">
        <v>1</v>
      </c>
      <c r="K612" s="2">
        <v>1</v>
      </c>
      <c r="L612" s="29">
        <v>1</v>
      </c>
    </row>
    <row r="613" spans="1:12" x14ac:dyDescent="0.25">
      <c r="A613" s="77"/>
      <c r="B613" s="80"/>
      <c r="C613" s="80"/>
      <c r="D613" s="1"/>
      <c r="E613" s="28">
        <v>0</v>
      </c>
      <c r="F613" s="28">
        <v>0</v>
      </c>
      <c r="G613" s="28">
        <v>0</v>
      </c>
      <c r="H613" s="1" t="s">
        <v>1021</v>
      </c>
      <c r="I613" s="2" t="s">
        <v>23</v>
      </c>
      <c r="J613" s="2">
        <v>2</v>
      </c>
      <c r="K613" s="2">
        <v>2</v>
      </c>
      <c r="L613" s="29">
        <v>2</v>
      </c>
    </row>
    <row r="614" spans="1:12" ht="30" x14ac:dyDescent="0.25">
      <c r="A614" s="77"/>
      <c r="B614" s="80"/>
      <c r="C614" s="80"/>
      <c r="D614" s="1"/>
      <c r="E614" s="28">
        <v>0</v>
      </c>
      <c r="F614" s="28">
        <v>0</v>
      </c>
      <c r="G614" s="28">
        <v>0</v>
      </c>
      <c r="H614" s="1" t="s">
        <v>1022</v>
      </c>
      <c r="I614" s="2" t="s">
        <v>104</v>
      </c>
      <c r="J614" s="2">
        <v>65</v>
      </c>
      <c r="K614" s="2">
        <v>65</v>
      </c>
      <c r="L614" s="29">
        <v>65</v>
      </c>
    </row>
    <row r="615" spans="1:12" ht="45" x14ac:dyDescent="0.25">
      <c r="A615" s="77"/>
      <c r="B615" s="80"/>
      <c r="C615" s="80"/>
      <c r="D615" s="1"/>
      <c r="E615" s="28">
        <v>0</v>
      </c>
      <c r="F615" s="28">
        <v>0</v>
      </c>
      <c r="G615" s="28">
        <v>0</v>
      </c>
      <c r="H615" s="1" t="s">
        <v>1023</v>
      </c>
      <c r="I615" s="2" t="s">
        <v>104</v>
      </c>
      <c r="J615" s="35">
        <v>2470</v>
      </c>
      <c r="K615" s="35">
        <v>2470</v>
      </c>
      <c r="L615" s="36">
        <v>2470</v>
      </c>
    </row>
    <row r="616" spans="1:12" ht="30" x14ac:dyDescent="0.25">
      <c r="A616" s="77"/>
      <c r="B616" s="80"/>
      <c r="C616" s="80"/>
      <c r="D616" s="1"/>
      <c r="E616" s="28">
        <v>0</v>
      </c>
      <c r="F616" s="28">
        <v>0</v>
      </c>
      <c r="G616" s="28">
        <v>0</v>
      </c>
      <c r="H616" s="1" t="s">
        <v>1024</v>
      </c>
      <c r="I616" s="2" t="s">
        <v>104</v>
      </c>
      <c r="J616" s="35">
        <v>1100</v>
      </c>
      <c r="K616" s="35">
        <v>1100</v>
      </c>
      <c r="L616" s="36">
        <v>1100</v>
      </c>
    </row>
    <row r="617" spans="1:12" ht="45" x14ac:dyDescent="0.25">
      <c r="A617" s="77"/>
      <c r="B617" s="80"/>
      <c r="C617" s="80"/>
      <c r="D617" s="1"/>
      <c r="E617" s="28">
        <v>0</v>
      </c>
      <c r="F617" s="28">
        <v>0</v>
      </c>
      <c r="G617" s="28">
        <v>0</v>
      </c>
      <c r="H617" s="1" t="s">
        <v>1025</v>
      </c>
      <c r="I617" s="2" t="s">
        <v>104</v>
      </c>
      <c r="J617" s="2">
        <v>5</v>
      </c>
      <c r="K617" s="2">
        <v>10</v>
      </c>
      <c r="L617" s="29">
        <v>15</v>
      </c>
    </row>
    <row r="618" spans="1:12" ht="30.75" thickBot="1" x14ac:dyDescent="0.3">
      <c r="A618" s="78"/>
      <c r="B618" s="81"/>
      <c r="C618" s="81"/>
      <c r="D618" s="1"/>
      <c r="E618" s="28">
        <v>0</v>
      </c>
      <c r="F618" s="28">
        <v>0</v>
      </c>
      <c r="G618" s="28">
        <v>0</v>
      </c>
      <c r="H618" s="1" t="s">
        <v>1026</v>
      </c>
      <c r="I618" s="2" t="s">
        <v>23</v>
      </c>
      <c r="J618" s="2">
        <v>2</v>
      </c>
      <c r="K618" s="2">
        <v>2</v>
      </c>
      <c r="L618" s="29">
        <v>2</v>
      </c>
    </row>
    <row r="619" spans="1:12" ht="15.75" customHeight="1" x14ac:dyDescent="0.25">
      <c r="A619" s="76" t="s">
        <v>1027</v>
      </c>
      <c r="B619" s="79" t="s">
        <v>1028</v>
      </c>
      <c r="C619" s="79" t="s">
        <v>984</v>
      </c>
      <c r="D619" s="24" t="s">
        <v>44</v>
      </c>
      <c r="E619" s="25">
        <f>SUM(E620:E620)+30</f>
        <v>30</v>
      </c>
      <c r="F619" s="25">
        <f>SUM(F620:F620)+30</f>
        <v>30</v>
      </c>
      <c r="G619" s="25">
        <f>SUM(G620:G620)+30</f>
        <v>30</v>
      </c>
      <c r="H619" s="24" t="s">
        <v>1029</v>
      </c>
      <c r="I619" s="26" t="s">
        <v>23</v>
      </c>
      <c r="J619" s="26">
        <v>10</v>
      </c>
      <c r="K619" s="26">
        <v>10</v>
      </c>
      <c r="L619" s="27">
        <v>10</v>
      </c>
    </row>
    <row r="620" spans="1:12" ht="45.75" thickBot="1" x14ac:dyDescent="0.3">
      <c r="A620" s="78"/>
      <c r="B620" s="81"/>
      <c r="C620" s="81"/>
      <c r="D620" s="1"/>
      <c r="E620" s="28">
        <v>0</v>
      </c>
      <c r="F620" s="28">
        <v>0</v>
      </c>
      <c r="G620" s="28">
        <v>0</v>
      </c>
      <c r="H620" s="1" t="s">
        <v>1030</v>
      </c>
      <c r="I620" s="2" t="s">
        <v>104</v>
      </c>
      <c r="J620" s="35">
        <v>1000</v>
      </c>
      <c r="K620" s="35">
        <v>1200</v>
      </c>
      <c r="L620" s="36">
        <v>1400</v>
      </c>
    </row>
    <row r="621" spans="1:12" ht="60" x14ac:dyDescent="0.25">
      <c r="A621" s="76" t="s">
        <v>1031</v>
      </c>
      <c r="B621" s="79" t="s">
        <v>1032</v>
      </c>
      <c r="C621" s="79" t="s">
        <v>984</v>
      </c>
      <c r="D621" s="24" t="s">
        <v>44</v>
      </c>
      <c r="E621" s="25">
        <f>SUM(E622:E623)+300</f>
        <v>300</v>
      </c>
      <c r="F621" s="25">
        <f>SUM(F622:F623)+300</f>
        <v>300</v>
      </c>
      <c r="G621" s="25">
        <f>SUM(G622:G623)+300</f>
        <v>300</v>
      </c>
      <c r="H621" s="24" t="s">
        <v>1033</v>
      </c>
      <c r="I621" s="26" t="s">
        <v>28</v>
      </c>
      <c r="J621" s="26">
        <v>100</v>
      </c>
      <c r="K621" s="26">
        <v>100</v>
      </c>
      <c r="L621" s="27">
        <v>100</v>
      </c>
    </row>
    <row r="622" spans="1:12" ht="45" x14ac:dyDescent="0.25">
      <c r="A622" s="77"/>
      <c r="B622" s="80"/>
      <c r="C622" s="80"/>
      <c r="D622" s="1"/>
      <c r="E622" s="28">
        <v>0</v>
      </c>
      <c r="F622" s="28">
        <v>0</v>
      </c>
      <c r="G622" s="28">
        <v>0</v>
      </c>
      <c r="H622" s="1" t="s">
        <v>1034</v>
      </c>
      <c r="I622" s="2" t="s">
        <v>28</v>
      </c>
      <c r="J622" s="2">
        <v>15</v>
      </c>
      <c r="K622" s="2">
        <v>15</v>
      </c>
      <c r="L622" s="29">
        <v>15</v>
      </c>
    </row>
    <row r="623" spans="1:12" ht="45.75" thickBot="1" x14ac:dyDescent="0.3">
      <c r="A623" s="78"/>
      <c r="B623" s="81"/>
      <c r="C623" s="81"/>
      <c r="D623" s="1"/>
      <c r="E623" s="28">
        <v>0</v>
      </c>
      <c r="F623" s="28">
        <v>0</v>
      </c>
      <c r="G623" s="28">
        <v>0</v>
      </c>
      <c r="H623" s="1" t="s">
        <v>1035</v>
      </c>
      <c r="I623" s="2" t="s">
        <v>28</v>
      </c>
      <c r="J623" s="2">
        <v>12.5</v>
      </c>
      <c r="K623" s="2">
        <v>12.5</v>
      </c>
      <c r="L623" s="29">
        <v>12.5</v>
      </c>
    </row>
    <row r="624" spans="1:12" ht="30" x14ac:dyDescent="0.25">
      <c r="A624" s="76" t="s">
        <v>1036</v>
      </c>
      <c r="B624" s="79" t="s">
        <v>1037</v>
      </c>
      <c r="C624" s="79" t="s">
        <v>984</v>
      </c>
      <c r="D624" s="24" t="s">
        <v>44</v>
      </c>
      <c r="E624" s="25">
        <f>SUM(E625:E625)</f>
        <v>0</v>
      </c>
      <c r="F624" s="25">
        <f>SUM(F625:F625)+38</f>
        <v>38</v>
      </c>
      <c r="G624" s="25">
        <f>SUM(G625:G625)+38</f>
        <v>38</v>
      </c>
      <c r="H624" s="24" t="s">
        <v>1038</v>
      </c>
      <c r="I624" s="26" t="s">
        <v>23</v>
      </c>
      <c r="J624" s="26">
        <v>0</v>
      </c>
      <c r="K624" s="26">
        <v>2</v>
      </c>
      <c r="L624" s="27">
        <v>3</v>
      </c>
    </row>
    <row r="625" spans="1:12" ht="30.75" thickBot="1" x14ac:dyDescent="0.3">
      <c r="A625" s="78"/>
      <c r="B625" s="81"/>
      <c r="C625" s="81"/>
      <c r="D625" s="1"/>
      <c r="E625" s="28">
        <v>0</v>
      </c>
      <c r="F625" s="28">
        <v>0</v>
      </c>
      <c r="G625" s="28">
        <v>0</v>
      </c>
      <c r="H625" s="1" t="s">
        <v>1039</v>
      </c>
      <c r="I625" s="2" t="s">
        <v>23</v>
      </c>
      <c r="J625" s="2">
        <v>0</v>
      </c>
      <c r="K625" s="2">
        <v>3</v>
      </c>
      <c r="L625" s="29">
        <v>3</v>
      </c>
    </row>
    <row r="626" spans="1:12" ht="38.25" customHeight="1" x14ac:dyDescent="0.25">
      <c r="A626" s="76" t="s">
        <v>1040</v>
      </c>
      <c r="B626" s="79" t="s">
        <v>1041</v>
      </c>
      <c r="C626" s="79" t="s">
        <v>1042</v>
      </c>
      <c r="D626" s="24"/>
      <c r="E626" s="25">
        <f>SUM(E627:E629)</f>
        <v>46.4</v>
      </c>
      <c r="F626" s="25">
        <f>SUM(F627:F629)</f>
        <v>0</v>
      </c>
      <c r="G626" s="25">
        <f>SUM(G627:G629)</f>
        <v>0</v>
      </c>
      <c r="H626" s="79" t="s">
        <v>1043</v>
      </c>
      <c r="I626" s="99" t="s">
        <v>104</v>
      </c>
      <c r="J626" s="99">
        <v>2</v>
      </c>
      <c r="K626" s="99"/>
      <c r="L626" s="111"/>
    </row>
    <row r="627" spans="1:12" x14ac:dyDescent="0.25">
      <c r="A627" s="77"/>
      <c r="B627" s="80"/>
      <c r="C627" s="80"/>
      <c r="D627" s="1" t="s">
        <v>44</v>
      </c>
      <c r="E627" s="28">
        <v>9</v>
      </c>
      <c r="F627" s="28">
        <v>0</v>
      </c>
      <c r="G627" s="28">
        <v>0</v>
      </c>
      <c r="H627" s="80"/>
      <c r="I627" s="100"/>
      <c r="J627" s="100"/>
      <c r="K627" s="100"/>
      <c r="L627" s="110"/>
    </row>
    <row r="628" spans="1:12" x14ac:dyDescent="0.25">
      <c r="A628" s="77"/>
      <c r="B628" s="80"/>
      <c r="C628" s="80"/>
      <c r="D628" s="1" t="s">
        <v>31</v>
      </c>
      <c r="E628" s="28">
        <v>34.4</v>
      </c>
      <c r="F628" s="28">
        <v>0</v>
      </c>
      <c r="G628" s="28">
        <v>0</v>
      </c>
      <c r="H628" s="80"/>
      <c r="I628" s="100"/>
      <c r="J628" s="100"/>
      <c r="K628" s="100"/>
      <c r="L628" s="110"/>
    </row>
    <row r="629" spans="1:12" ht="15.75" thickBot="1" x14ac:dyDescent="0.3">
      <c r="A629" s="78"/>
      <c r="B629" s="81"/>
      <c r="C629" s="81"/>
      <c r="D629" s="1" t="s">
        <v>29</v>
      </c>
      <c r="E629" s="28">
        <v>3</v>
      </c>
      <c r="F629" s="28">
        <v>0</v>
      </c>
      <c r="G629" s="28">
        <v>0</v>
      </c>
      <c r="H629" s="81"/>
      <c r="I629" s="101"/>
      <c r="J629" s="101"/>
      <c r="K629" s="101"/>
      <c r="L629" s="109"/>
    </row>
    <row r="630" spans="1:12" ht="28.5" customHeight="1" x14ac:dyDescent="0.25">
      <c r="A630" s="76" t="s">
        <v>1044</v>
      </c>
      <c r="B630" s="79" t="s">
        <v>1045</v>
      </c>
      <c r="C630" s="79" t="s">
        <v>1046</v>
      </c>
      <c r="D630" s="24"/>
      <c r="E630" s="25">
        <f>SUM(E631:E633)</f>
        <v>857.2</v>
      </c>
      <c r="F630" s="25">
        <f>SUM(F631:F633)</f>
        <v>626.5</v>
      </c>
      <c r="G630" s="25">
        <f>SUM(G631:G633)</f>
        <v>313.2</v>
      </c>
      <c r="H630" s="79" t="s">
        <v>1047</v>
      </c>
      <c r="I630" s="99" t="s">
        <v>123</v>
      </c>
      <c r="J630" s="99">
        <v>140</v>
      </c>
      <c r="K630" s="99">
        <v>140</v>
      </c>
      <c r="L630" s="111">
        <v>140</v>
      </c>
    </row>
    <row r="631" spans="1:12" x14ac:dyDescent="0.25">
      <c r="A631" s="77"/>
      <c r="B631" s="80"/>
      <c r="C631" s="80"/>
      <c r="D631" s="1" t="s">
        <v>31</v>
      </c>
      <c r="E631" s="28">
        <v>130.4</v>
      </c>
      <c r="F631" s="28">
        <v>130.4</v>
      </c>
      <c r="G631" s="28">
        <v>65.2</v>
      </c>
      <c r="H631" s="80"/>
      <c r="I631" s="100"/>
      <c r="J631" s="100"/>
      <c r="K631" s="100"/>
      <c r="L631" s="110"/>
    </row>
    <row r="632" spans="1:12" x14ac:dyDescent="0.25">
      <c r="A632" s="77"/>
      <c r="B632" s="80"/>
      <c r="C632" s="80"/>
      <c r="D632" s="1" t="s">
        <v>29</v>
      </c>
      <c r="E632" s="28">
        <v>230.7</v>
      </c>
      <c r="F632" s="28">
        <v>0</v>
      </c>
      <c r="G632" s="28">
        <v>0</v>
      </c>
      <c r="H632" s="80"/>
      <c r="I632" s="100"/>
      <c r="J632" s="100"/>
      <c r="K632" s="100"/>
      <c r="L632" s="110"/>
    </row>
    <row r="633" spans="1:12" ht="15.75" thickBot="1" x14ac:dyDescent="0.3">
      <c r="A633" s="78"/>
      <c r="B633" s="81"/>
      <c r="C633" s="81"/>
      <c r="D633" s="1" t="s">
        <v>33</v>
      </c>
      <c r="E633" s="28">
        <v>496.1</v>
      </c>
      <c r="F633" s="28">
        <v>496.1</v>
      </c>
      <c r="G633" s="28">
        <v>248</v>
      </c>
      <c r="H633" s="81"/>
      <c r="I633" s="101"/>
      <c r="J633" s="101"/>
      <c r="K633" s="101"/>
      <c r="L633" s="109"/>
    </row>
    <row r="634" spans="1:12" x14ac:dyDescent="0.25">
      <c r="A634" s="76" t="s">
        <v>1048</v>
      </c>
      <c r="B634" s="79" t="s">
        <v>1049</v>
      </c>
      <c r="C634" s="79" t="s">
        <v>984</v>
      </c>
      <c r="D634" s="24"/>
      <c r="E634" s="25">
        <f>SUM(E635:E637)</f>
        <v>14.100000000000001</v>
      </c>
      <c r="F634" s="25">
        <f>SUM(F635:F637)</f>
        <v>0</v>
      </c>
      <c r="G634" s="25">
        <f>SUM(G635:G637)</f>
        <v>0</v>
      </c>
      <c r="H634" s="79" t="s">
        <v>1050</v>
      </c>
      <c r="I634" s="99" t="s">
        <v>123</v>
      </c>
      <c r="J634" s="99">
        <v>5</v>
      </c>
      <c r="K634" s="99"/>
      <c r="L634" s="111"/>
    </row>
    <row r="635" spans="1:12" x14ac:dyDescent="0.25">
      <c r="A635" s="77"/>
      <c r="B635" s="80"/>
      <c r="C635" s="80"/>
      <c r="D635" s="1" t="s">
        <v>29</v>
      </c>
      <c r="E635" s="28">
        <v>10</v>
      </c>
      <c r="F635" s="28">
        <v>0</v>
      </c>
      <c r="G635" s="28">
        <v>0</v>
      </c>
      <c r="H635" s="80"/>
      <c r="I635" s="100"/>
      <c r="J635" s="100"/>
      <c r="K635" s="100"/>
      <c r="L635" s="110"/>
    </row>
    <row r="636" spans="1:12" x14ac:dyDescent="0.25">
      <c r="A636" s="77"/>
      <c r="B636" s="80"/>
      <c r="C636" s="80"/>
      <c r="D636" s="1" t="s">
        <v>33</v>
      </c>
      <c r="E636" s="28">
        <v>3.8</v>
      </c>
      <c r="F636" s="28">
        <v>0</v>
      </c>
      <c r="G636" s="28">
        <v>0</v>
      </c>
      <c r="H636" s="80"/>
      <c r="I636" s="100"/>
      <c r="J636" s="100"/>
      <c r="K636" s="100"/>
      <c r="L636" s="110"/>
    </row>
    <row r="637" spans="1:12" ht="15.75" thickBot="1" x14ac:dyDescent="0.3">
      <c r="A637" s="78"/>
      <c r="B637" s="81"/>
      <c r="C637" s="81"/>
      <c r="D637" s="1" t="s">
        <v>44</v>
      </c>
      <c r="E637" s="28">
        <v>0.3</v>
      </c>
      <c r="F637" s="28">
        <v>0</v>
      </c>
      <c r="G637" s="28">
        <v>0</v>
      </c>
      <c r="H637" s="81"/>
      <c r="I637" s="101"/>
      <c r="J637" s="101"/>
      <c r="K637" s="101"/>
      <c r="L637" s="109"/>
    </row>
    <row r="638" spans="1:12" ht="54" customHeight="1" thickBot="1" x14ac:dyDescent="0.3">
      <c r="A638" s="30" t="s">
        <v>1051</v>
      </c>
      <c r="B638" s="31" t="s">
        <v>1052</v>
      </c>
      <c r="C638" s="24" t="s">
        <v>984</v>
      </c>
      <c r="D638" s="24" t="s">
        <v>44</v>
      </c>
      <c r="E638" s="32">
        <v>94.7</v>
      </c>
      <c r="F638" s="32">
        <v>93.7</v>
      </c>
      <c r="G638" s="32">
        <v>95</v>
      </c>
      <c r="H638" s="24" t="s">
        <v>1053</v>
      </c>
      <c r="I638" s="26" t="s">
        <v>104</v>
      </c>
      <c r="J638" s="26">
        <v>105</v>
      </c>
      <c r="K638" s="26">
        <v>105</v>
      </c>
      <c r="L638" s="27">
        <v>105</v>
      </c>
    </row>
    <row r="639" spans="1:12" ht="28.5" customHeight="1" x14ac:dyDescent="0.25">
      <c r="A639" s="68" t="s">
        <v>1054</v>
      </c>
      <c r="B639" s="70" t="s">
        <v>1055</v>
      </c>
      <c r="C639" s="71"/>
      <c r="D639" s="72"/>
      <c r="E639" s="15">
        <f>E640+E641+E642+E643+E644+E645+E652+E656+E659+E662+E663+E666+E669+E672+E678+E682+E686+E692+E696+E700+E705+E708+E711+E712-0.1</f>
        <v>28473.800000000007</v>
      </c>
      <c r="F639" s="15">
        <f>F640+F641+F642+F643+F644+F645+F652+F656+F659+F662+F663+F666+F669+F672+F678+F682+F686+F692+F696+F700+F705+F708+F711+F712</f>
        <v>25581.8</v>
      </c>
      <c r="G639" s="15">
        <f>G640+G641+G642+G643+G644+G645+G652+G656+G659+G662+G663+G666+G669+G672+G678+G682+G686+G692+G696+G700+G705+G708+G711+G712</f>
        <v>23224.899999999998</v>
      </c>
      <c r="H639" s="16" t="s">
        <v>1056</v>
      </c>
      <c r="I639" s="17" t="s">
        <v>23</v>
      </c>
      <c r="J639" s="17">
        <v>19</v>
      </c>
      <c r="K639" s="17">
        <v>20</v>
      </c>
      <c r="L639" s="34">
        <v>21</v>
      </c>
    </row>
    <row r="640" spans="1:12" x14ac:dyDescent="0.25">
      <c r="A640" s="102"/>
      <c r="B640" s="103"/>
      <c r="C640" s="104"/>
      <c r="D640" s="105"/>
      <c r="E640" s="20">
        <v>0</v>
      </c>
      <c r="F640" s="20">
        <v>0</v>
      </c>
      <c r="G640" s="20">
        <v>0</v>
      </c>
      <c r="H640" s="21" t="s">
        <v>1057</v>
      </c>
      <c r="I640" s="22" t="s">
        <v>23</v>
      </c>
      <c r="J640" s="22">
        <v>30</v>
      </c>
      <c r="K640" s="22">
        <v>31</v>
      </c>
      <c r="L640" s="23">
        <v>31</v>
      </c>
    </row>
    <row r="641" spans="1:12" ht="30" x14ac:dyDescent="0.25">
      <c r="A641" s="102"/>
      <c r="B641" s="103"/>
      <c r="C641" s="104"/>
      <c r="D641" s="105"/>
      <c r="E641" s="20">
        <v>0</v>
      </c>
      <c r="F641" s="20">
        <v>0</v>
      </c>
      <c r="G641" s="20">
        <v>0</v>
      </c>
      <c r="H641" s="21" t="s">
        <v>1058</v>
      </c>
      <c r="I641" s="22" t="s">
        <v>23</v>
      </c>
      <c r="J641" s="22">
        <v>15</v>
      </c>
      <c r="K641" s="22">
        <v>16</v>
      </c>
      <c r="L641" s="23">
        <v>17</v>
      </c>
    </row>
    <row r="642" spans="1:12" ht="15.75" customHeight="1" x14ac:dyDescent="0.25">
      <c r="A642" s="102"/>
      <c r="B642" s="103"/>
      <c r="C642" s="104"/>
      <c r="D642" s="105"/>
      <c r="E642" s="20">
        <v>0</v>
      </c>
      <c r="F642" s="20">
        <v>0</v>
      </c>
      <c r="G642" s="20">
        <v>0</v>
      </c>
      <c r="H642" s="21" t="s">
        <v>1059</v>
      </c>
      <c r="I642" s="22" t="s">
        <v>23</v>
      </c>
      <c r="J642" s="22">
        <v>30</v>
      </c>
      <c r="K642" s="22">
        <v>30</v>
      </c>
      <c r="L642" s="23">
        <v>30</v>
      </c>
    </row>
    <row r="643" spans="1:12" ht="30" x14ac:dyDescent="0.25">
      <c r="A643" s="102"/>
      <c r="B643" s="103"/>
      <c r="C643" s="104"/>
      <c r="D643" s="105"/>
      <c r="E643" s="20">
        <v>0</v>
      </c>
      <c r="F643" s="20">
        <v>0</v>
      </c>
      <c r="G643" s="20">
        <v>0</v>
      </c>
      <c r="H643" s="21" t="s">
        <v>1060</v>
      </c>
      <c r="I643" s="22" t="s">
        <v>23</v>
      </c>
      <c r="J643" s="22">
        <v>1</v>
      </c>
      <c r="K643" s="22">
        <v>2</v>
      </c>
      <c r="L643" s="23">
        <v>3</v>
      </c>
    </row>
    <row r="644" spans="1:12" ht="15.75" thickBot="1" x14ac:dyDescent="0.3">
      <c r="A644" s="69"/>
      <c r="B644" s="73"/>
      <c r="C644" s="74"/>
      <c r="D644" s="75"/>
      <c r="E644" s="20">
        <v>0</v>
      </c>
      <c r="F644" s="20">
        <v>0</v>
      </c>
      <c r="G644" s="20">
        <v>0</v>
      </c>
      <c r="H644" s="21" t="s">
        <v>1061</v>
      </c>
      <c r="I644" s="22" t="s">
        <v>23</v>
      </c>
      <c r="J644" s="22">
        <v>9</v>
      </c>
      <c r="K644" s="22">
        <v>9</v>
      </c>
      <c r="L644" s="23">
        <v>9</v>
      </c>
    </row>
    <row r="645" spans="1:12" ht="60" x14ac:dyDescent="0.25">
      <c r="A645" s="76" t="s">
        <v>1062</v>
      </c>
      <c r="B645" s="79" t="s">
        <v>1063</v>
      </c>
      <c r="C645" s="79" t="s">
        <v>1064</v>
      </c>
      <c r="D645" s="24"/>
      <c r="E645" s="25">
        <f>SUM(E646:E651)</f>
        <v>3499.8</v>
      </c>
      <c r="F645" s="25">
        <f>SUM(F646:F651)</f>
        <v>5200</v>
      </c>
      <c r="G645" s="25">
        <f>SUM(G646:G651)</f>
        <v>4000</v>
      </c>
      <c r="H645" s="24" t="s">
        <v>1065</v>
      </c>
      <c r="I645" s="26" t="s">
        <v>23</v>
      </c>
      <c r="J645" s="26">
        <v>1</v>
      </c>
      <c r="K645" s="26">
        <v>2</v>
      </c>
      <c r="L645" s="27">
        <v>1</v>
      </c>
    </row>
    <row r="646" spans="1:12" ht="78.75" customHeight="1" x14ac:dyDescent="0.25">
      <c r="A646" s="77"/>
      <c r="B646" s="80"/>
      <c r="C646" s="80"/>
      <c r="D646" s="1" t="s">
        <v>44</v>
      </c>
      <c r="E646" s="28">
        <v>2481</v>
      </c>
      <c r="F646" s="28">
        <v>5200</v>
      </c>
      <c r="G646" s="28">
        <v>4000</v>
      </c>
      <c r="H646" s="1" t="s">
        <v>1066</v>
      </c>
      <c r="I646" s="2" t="s">
        <v>23</v>
      </c>
      <c r="J646" s="2">
        <v>2</v>
      </c>
      <c r="K646" s="2">
        <v>1</v>
      </c>
      <c r="L646" s="29">
        <v>2</v>
      </c>
    </row>
    <row r="647" spans="1:12" ht="30" x14ac:dyDescent="0.25">
      <c r="A647" s="77"/>
      <c r="B647" s="80"/>
      <c r="C647" s="80"/>
      <c r="D647" s="1" t="s">
        <v>29</v>
      </c>
      <c r="E647" s="28">
        <v>1018.8</v>
      </c>
      <c r="F647" s="28">
        <v>0</v>
      </c>
      <c r="G647" s="28">
        <v>0</v>
      </c>
      <c r="H647" s="1" t="s">
        <v>1067</v>
      </c>
      <c r="I647" s="2" t="s">
        <v>23</v>
      </c>
      <c r="J647" s="2">
        <v>2</v>
      </c>
      <c r="K647" s="2">
        <v>0</v>
      </c>
      <c r="L647" s="29">
        <v>0</v>
      </c>
    </row>
    <row r="648" spans="1:12" ht="90" x14ac:dyDescent="0.25">
      <c r="A648" s="77"/>
      <c r="B648" s="80"/>
      <c r="C648" s="80"/>
      <c r="D648" s="1"/>
      <c r="E648" s="28">
        <v>0</v>
      </c>
      <c r="F648" s="28">
        <v>0</v>
      </c>
      <c r="G648" s="28">
        <v>0</v>
      </c>
      <c r="H648" s="1" t="s">
        <v>1068</v>
      </c>
      <c r="I648" s="2" t="s">
        <v>23</v>
      </c>
      <c r="J648" s="2">
        <v>6</v>
      </c>
      <c r="K648" s="2">
        <v>2</v>
      </c>
      <c r="L648" s="29">
        <v>2</v>
      </c>
    </row>
    <row r="649" spans="1:12" ht="60" x14ac:dyDescent="0.25">
      <c r="A649" s="77"/>
      <c r="B649" s="80"/>
      <c r="C649" s="80"/>
      <c r="D649" s="1"/>
      <c r="E649" s="28">
        <v>0</v>
      </c>
      <c r="F649" s="28">
        <v>0</v>
      </c>
      <c r="G649" s="28">
        <v>0</v>
      </c>
      <c r="H649" s="1" t="s">
        <v>1069</v>
      </c>
      <c r="I649" s="2" t="s">
        <v>23</v>
      </c>
      <c r="J649" s="2">
        <v>2</v>
      </c>
      <c r="K649" s="2">
        <v>1</v>
      </c>
      <c r="L649" s="29">
        <v>1</v>
      </c>
    </row>
    <row r="650" spans="1:12" ht="75" x14ac:dyDescent="0.25">
      <c r="A650" s="77"/>
      <c r="B650" s="80"/>
      <c r="C650" s="80"/>
      <c r="D650" s="1"/>
      <c r="E650" s="28">
        <v>0</v>
      </c>
      <c r="F650" s="28">
        <v>0</v>
      </c>
      <c r="G650" s="28">
        <v>0</v>
      </c>
      <c r="H650" s="1" t="s">
        <v>1070</v>
      </c>
      <c r="I650" s="2" t="s">
        <v>23</v>
      </c>
      <c r="J650" s="2">
        <v>2</v>
      </c>
      <c r="K650" s="2">
        <v>1</v>
      </c>
      <c r="L650" s="29">
        <v>1</v>
      </c>
    </row>
    <row r="651" spans="1:12" ht="78" customHeight="1" thickBot="1" x14ac:dyDescent="0.3">
      <c r="A651" s="78"/>
      <c r="B651" s="81"/>
      <c r="C651" s="81"/>
      <c r="D651" s="1"/>
      <c r="E651" s="28">
        <v>0</v>
      </c>
      <c r="F651" s="28">
        <v>0</v>
      </c>
      <c r="G651" s="28">
        <v>0</v>
      </c>
      <c r="H651" s="1" t="s">
        <v>1071</v>
      </c>
      <c r="I651" s="2" t="s">
        <v>23</v>
      </c>
      <c r="J651" s="2">
        <v>3</v>
      </c>
      <c r="K651" s="2">
        <v>1</v>
      </c>
      <c r="L651" s="29">
        <v>1</v>
      </c>
    </row>
    <row r="652" spans="1:12" ht="60" x14ac:dyDescent="0.25">
      <c r="A652" s="76" t="s">
        <v>1072</v>
      </c>
      <c r="B652" s="79" t="s">
        <v>1073</v>
      </c>
      <c r="C652" s="79" t="s">
        <v>1074</v>
      </c>
      <c r="D652" s="24"/>
      <c r="E652" s="25">
        <f>SUM(E653:E655)</f>
        <v>1685.2</v>
      </c>
      <c r="F652" s="25">
        <f>SUM(F653:F655)</f>
        <v>1471</v>
      </c>
      <c r="G652" s="25">
        <f>SUM(G653:G655)</f>
        <v>1471</v>
      </c>
      <c r="H652" s="24" t="s">
        <v>1075</v>
      </c>
      <c r="I652" s="26" t="s">
        <v>23</v>
      </c>
      <c r="J652" s="26">
        <v>6</v>
      </c>
      <c r="K652" s="26">
        <v>6</v>
      </c>
      <c r="L652" s="27">
        <v>6</v>
      </c>
    </row>
    <row r="653" spans="1:12" ht="60" x14ac:dyDescent="0.25">
      <c r="A653" s="77"/>
      <c r="B653" s="80"/>
      <c r="C653" s="80"/>
      <c r="D653" s="1" t="s">
        <v>44</v>
      </c>
      <c r="E653" s="28">
        <v>1471</v>
      </c>
      <c r="F653" s="28">
        <v>1471</v>
      </c>
      <c r="G653" s="28">
        <v>1471</v>
      </c>
      <c r="H653" s="1" t="s">
        <v>1076</v>
      </c>
      <c r="I653" s="2" t="s">
        <v>23</v>
      </c>
      <c r="J653" s="2">
        <v>3</v>
      </c>
      <c r="K653" s="2">
        <v>3</v>
      </c>
      <c r="L653" s="29">
        <v>3</v>
      </c>
    </row>
    <row r="654" spans="1:12" ht="75" x14ac:dyDescent="0.25">
      <c r="A654" s="77"/>
      <c r="B654" s="80"/>
      <c r="C654" s="80"/>
      <c r="D654" s="1" t="s">
        <v>29</v>
      </c>
      <c r="E654" s="28">
        <v>214.2</v>
      </c>
      <c r="F654" s="28">
        <v>0</v>
      </c>
      <c r="G654" s="28">
        <v>0</v>
      </c>
      <c r="H654" s="1" t="s">
        <v>1077</v>
      </c>
      <c r="I654" s="2" t="s">
        <v>23</v>
      </c>
      <c r="J654" s="2">
        <v>1</v>
      </c>
      <c r="K654" s="2">
        <v>1</v>
      </c>
      <c r="L654" s="29">
        <v>1</v>
      </c>
    </row>
    <row r="655" spans="1:12" ht="75.75" thickBot="1" x14ac:dyDescent="0.3">
      <c r="A655" s="78"/>
      <c r="B655" s="81"/>
      <c r="C655" s="81"/>
      <c r="D655" s="1"/>
      <c r="E655" s="28">
        <v>0</v>
      </c>
      <c r="F655" s="28">
        <v>0</v>
      </c>
      <c r="G655" s="28">
        <v>0</v>
      </c>
      <c r="H655" s="1" t="s">
        <v>1078</v>
      </c>
      <c r="I655" s="2" t="s">
        <v>23</v>
      </c>
      <c r="J655" s="2">
        <v>2</v>
      </c>
      <c r="K655" s="2">
        <v>1</v>
      </c>
      <c r="L655" s="29">
        <v>1</v>
      </c>
    </row>
    <row r="656" spans="1:12" x14ac:dyDescent="0.25">
      <c r="A656" s="76" t="s">
        <v>1079</v>
      </c>
      <c r="B656" s="79" t="s">
        <v>1080</v>
      </c>
      <c r="C656" s="79" t="s">
        <v>1064</v>
      </c>
      <c r="D656" s="24"/>
      <c r="E656" s="25">
        <f>SUM(E657:E658)</f>
        <v>678.9</v>
      </c>
      <c r="F656" s="25">
        <f>SUM(F657:F658)</f>
        <v>1600</v>
      </c>
      <c r="G656" s="25">
        <f>SUM(G657:G658)</f>
        <v>1600</v>
      </c>
      <c r="H656" s="24" t="s">
        <v>1081</v>
      </c>
      <c r="I656" s="26" t="s">
        <v>28</v>
      </c>
      <c r="J656" s="26">
        <v>10</v>
      </c>
      <c r="K656" s="26">
        <v>50</v>
      </c>
      <c r="L656" s="27">
        <v>100</v>
      </c>
    </row>
    <row r="657" spans="1:12" ht="30" x14ac:dyDescent="0.25">
      <c r="A657" s="77"/>
      <c r="B657" s="80"/>
      <c r="C657" s="80"/>
      <c r="D657" s="1" t="s">
        <v>44</v>
      </c>
      <c r="E657" s="28">
        <v>400</v>
      </c>
      <c r="F657" s="28">
        <v>1600</v>
      </c>
      <c r="G657" s="28">
        <v>1600</v>
      </c>
      <c r="H657" s="1" t="s">
        <v>1082</v>
      </c>
      <c r="I657" s="2" t="s">
        <v>28</v>
      </c>
      <c r="J657" s="2">
        <v>0</v>
      </c>
      <c r="K657" s="2">
        <v>10</v>
      </c>
      <c r="L657" s="29">
        <v>100</v>
      </c>
    </row>
    <row r="658" spans="1:12" ht="75.75" thickBot="1" x14ac:dyDescent="0.3">
      <c r="A658" s="78"/>
      <c r="B658" s="81"/>
      <c r="C658" s="81"/>
      <c r="D658" s="1" t="s">
        <v>29</v>
      </c>
      <c r="E658" s="28">
        <v>278.89999999999998</v>
      </c>
      <c r="F658" s="28">
        <v>0</v>
      </c>
      <c r="G658" s="28">
        <v>0</v>
      </c>
      <c r="H658" s="1" t="s">
        <v>1083</v>
      </c>
      <c r="I658" s="2" t="s">
        <v>23</v>
      </c>
      <c r="J658" s="2">
        <v>2</v>
      </c>
      <c r="K658" s="2">
        <v>1</v>
      </c>
      <c r="L658" s="29">
        <v>1</v>
      </c>
    </row>
    <row r="659" spans="1:12" ht="45" x14ac:dyDescent="0.25">
      <c r="A659" s="76" t="s">
        <v>1084</v>
      </c>
      <c r="B659" s="79" t="s">
        <v>1085</v>
      </c>
      <c r="C659" s="79" t="s">
        <v>1064</v>
      </c>
      <c r="D659" s="24" t="s">
        <v>44</v>
      </c>
      <c r="E659" s="25">
        <f>SUM(E660:E661)+1300</f>
        <v>1300</v>
      </c>
      <c r="F659" s="25">
        <f>SUM(F660:F661)+1300</f>
        <v>1300</v>
      </c>
      <c r="G659" s="25">
        <f>SUM(G660:G661)+1300</f>
        <v>1300</v>
      </c>
      <c r="H659" s="24" t="s">
        <v>1086</v>
      </c>
      <c r="I659" s="26" t="s">
        <v>23</v>
      </c>
      <c r="J659" s="26">
        <v>4</v>
      </c>
      <c r="K659" s="26">
        <v>1</v>
      </c>
      <c r="L659" s="27">
        <v>1</v>
      </c>
    </row>
    <row r="660" spans="1:12" ht="75" x14ac:dyDescent="0.25">
      <c r="A660" s="77"/>
      <c r="B660" s="80"/>
      <c r="C660" s="80"/>
      <c r="D660" s="1"/>
      <c r="E660" s="28">
        <v>0</v>
      </c>
      <c r="F660" s="28">
        <v>0</v>
      </c>
      <c r="G660" s="28">
        <v>0</v>
      </c>
      <c r="H660" s="1" t="s">
        <v>1087</v>
      </c>
      <c r="I660" s="2" t="s">
        <v>23</v>
      </c>
      <c r="J660" s="2">
        <v>11</v>
      </c>
      <c r="K660" s="2">
        <v>5</v>
      </c>
      <c r="L660" s="29">
        <v>5</v>
      </c>
    </row>
    <row r="661" spans="1:12" ht="60.75" thickBot="1" x14ac:dyDescent="0.3">
      <c r="A661" s="78"/>
      <c r="B661" s="81"/>
      <c r="C661" s="81"/>
      <c r="D661" s="1"/>
      <c r="E661" s="28">
        <v>0</v>
      </c>
      <c r="F661" s="28">
        <v>0</v>
      </c>
      <c r="G661" s="28">
        <v>0</v>
      </c>
      <c r="H661" s="1" t="s">
        <v>1088</v>
      </c>
      <c r="I661" s="2" t="s">
        <v>23</v>
      </c>
      <c r="J661" s="2">
        <v>4</v>
      </c>
      <c r="K661" s="2">
        <v>1</v>
      </c>
      <c r="L661" s="29">
        <v>1</v>
      </c>
    </row>
    <row r="662" spans="1:12" ht="45.75" thickBot="1" x14ac:dyDescent="0.3">
      <c r="A662" s="30" t="s">
        <v>1089</v>
      </c>
      <c r="B662" s="31" t="s">
        <v>1090</v>
      </c>
      <c r="C662" s="24" t="s">
        <v>984</v>
      </c>
      <c r="D662" s="24" t="s">
        <v>44</v>
      </c>
      <c r="E662" s="32">
        <v>100</v>
      </c>
      <c r="F662" s="32">
        <v>100</v>
      </c>
      <c r="G662" s="32">
        <v>100</v>
      </c>
      <c r="H662" s="24" t="s">
        <v>1091</v>
      </c>
      <c r="I662" s="26" t="s">
        <v>28</v>
      </c>
      <c r="J662" s="26">
        <v>100</v>
      </c>
      <c r="K662" s="26">
        <v>100</v>
      </c>
      <c r="L662" s="27">
        <v>100</v>
      </c>
    </row>
    <row r="663" spans="1:12" ht="30" x14ac:dyDescent="0.25">
      <c r="A663" s="76" t="s">
        <v>1092</v>
      </c>
      <c r="B663" s="79" t="s">
        <v>1093</v>
      </c>
      <c r="C663" s="79" t="s">
        <v>1094</v>
      </c>
      <c r="D663" s="24"/>
      <c r="E663" s="25">
        <f>SUM(E664:E665)</f>
        <v>607.29999999999995</v>
      </c>
      <c r="F663" s="25">
        <f>SUM(F664:F665)</f>
        <v>2150</v>
      </c>
      <c r="G663" s="25">
        <f>SUM(G664:G665)</f>
        <v>2150</v>
      </c>
      <c r="H663" s="24" t="s">
        <v>1095</v>
      </c>
      <c r="I663" s="26" t="s">
        <v>28</v>
      </c>
      <c r="J663" s="26">
        <v>2</v>
      </c>
      <c r="K663" s="26">
        <v>48</v>
      </c>
      <c r="L663" s="27">
        <v>100</v>
      </c>
    </row>
    <row r="664" spans="1:12" ht="25.5" customHeight="1" x14ac:dyDescent="0.25">
      <c r="A664" s="77"/>
      <c r="B664" s="80"/>
      <c r="C664" s="80"/>
      <c r="D664" s="1" t="s">
        <v>44</v>
      </c>
      <c r="E664" s="28">
        <v>563.79999999999995</v>
      </c>
      <c r="F664" s="28">
        <v>2150</v>
      </c>
      <c r="G664" s="28">
        <v>2150</v>
      </c>
      <c r="H664" s="106" t="s">
        <v>1096</v>
      </c>
      <c r="I664" s="107" t="s">
        <v>28</v>
      </c>
      <c r="J664" s="107">
        <v>100</v>
      </c>
      <c r="K664" s="107">
        <v>0</v>
      </c>
      <c r="L664" s="108">
        <v>0</v>
      </c>
    </row>
    <row r="665" spans="1:12" ht="15.75" thickBot="1" x14ac:dyDescent="0.3">
      <c r="A665" s="78"/>
      <c r="B665" s="81"/>
      <c r="C665" s="81"/>
      <c r="D665" s="1" t="s">
        <v>29</v>
      </c>
      <c r="E665" s="28">
        <v>43.5</v>
      </c>
      <c r="F665" s="28"/>
      <c r="G665" s="28"/>
      <c r="H665" s="81"/>
      <c r="I665" s="101"/>
      <c r="J665" s="101"/>
      <c r="K665" s="101"/>
      <c r="L665" s="109"/>
    </row>
    <row r="666" spans="1:12" ht="15.75" customHeight="1" x14ac:dyDescent="0.25">
      <c r="A666" s="76" t="s">
        <v>1097</v>
      </c>
      <c r="B666" s="79" t="s">
        <v>1098</v>
      </c>
      <c r="C666" s="79" t="s">
        <v>1064</v>
      </c>
      <c r="D666" s="24"/>
      <c r="E666" s="25">
        <f>SUM(E667:E668)</f>
        <v>1905</v>
      </c>
      <c r="F666" s="25">
        <f>SUM(F667:F668)</f>
        <v>0</v>
      </c>
      <c r="G666" s="25">
        <f>SUM(G667:G668)</f>
        <v>0</v>
      </c>
      <c r="H666" s="79" t="s">
        <v>1099</v>
      </c>
      <c r="I666" s="99" t="s">
        <v>28</v>
      </c>
      <c r="J666" s="99">
        <v>100</v>
      </c>
      <c r="K666" s="99"/>
      <c r="L666" s="111"/>
    </row>
    <row r="667" spans="1:12" x14ac:dyDescent="0.25">
      <c r="A667" s="77"/>
      <c r="B667" s="80"/>
      <c r="C667" s="80"/>
      <c r="D667" s="1" t="s">
        <v>44</v>
      </c>
      <c r="E667" s="28">
        <v>943</v>
      </c>
      <c r="F667" s="28">
        <v>0</v>
      </c>
      <c r="G667" s="28">
        <v>0</v>
      </c>
      <c r="H667" s="80"/>
      <c r="I667" s="100"/>
      <c r="J667" s="100"/>
      <c r="K667" s="100"/>
      <c r="L667" s="110"/>
    </row>
    <row r="668" spans="1:12" ht="15.75" thickBot="1" x14ac:dyDescent="0.3">
      <c r="A668" s="78"/>
      <c r="B668" s="81"/>
      <c r="C668" s="81"/>
      <c r="D668" s="1" t="s">
        <v>29</v>
      </c>
      <c r="E668" s="28">
        <v>962</v>
      </c>
      <c r="F668" s="28">
        <v>0</v>
      </c>
      <c r="G668" s="28">
        <v>0</v>
      </c>
      <c r="H668" s="81"/>
      <c r="I668" s="101"/>
      <c r="J668" s="101"/>
      <c r="K668" s="101"/>
      <c r="L668" s="109"/>
    </row>
    <row r="669" spans="1:12" ht="25.5" customHeight="1" x14ac:dyDescent="0.25">
      <c r="A669" s="76" t="s">
        <v>1100</v>
      </c>
      <c r="B669" s="79" t="s">
        <v>1101</v>
      </c>
      <c r="C669" s="79" t="s">
        <v>1094</v>
      </c>
      <c r="D669" s="24"/>
      <c r="E669" s="25">
        <f>SUM(E670:E671)</f>
        <v>633.79999999999995</v>
      </c>
      <c r="F669" s="25">
        <f>SUM(F670:F671)</f>
        <v>0</v>
      </c>
      <c r="G669" s="25">
        <f>SUM(G670:G671)</f>
        <v>0</v>
      </c>
      <c r="H669" s="79" t="s">
        <v>1102</v>
      </c>
      <c r="I669" s="99" t="s">
        <v>23</v>
      </c>
      <c r="J669" s="99">
        <v>1</v>
      </c>
      <c r="K669" s="99"/>
      <c r="L669" s="111"/>
    </row>
    <row r="670" spans="1:12" x14ac:dyDescent="0.25">
      <c r="A670" s="77"/>
      <c r="B670" s="80"/>
      <c r="C670" s="80"/>
      <c r="D670" s="1" t="s">
        <v>44</v>
      </c>
      <c r="E670" s="28">
        <v>435.4</v>
      </c>
      <c r="F670" s="28">
        <v>0</v>
      </c>
      <c r="G670" s="28">
        <v>0</v>
      </c>
      <c r="H670" s="80"/>
      <c r="I670" s="100"/>
      <c r="J670" s="100"/>
      <c r="K670" s="100"/>
      <c r="L670" s="110"/>
    </row>
    <row r="671" spans="1:12" ht="15.75" thickBot="1" x14ac:dyDescent="0.3">
      <c r="A671" s="78"/>
      <c r="B671" s="81"/>
      <c r="C671" s="81"/>
      <c r="D671" s="1" t="s">
        <v>29</v>
      </c>
      <c r="E671" s="28">
        <v>198.4</v>
      </c>
      <c r="F671" s="28">
        <v>0</v>
      </c>
      <c r="G671" s="28">
        <v>0</v>
      </c>
      <c r="H671" s="81"/>
      <c r="I671" s="101"/>
      <c r="J671" s="101"/>
      <c r="K671" s="101"/>
      <c r="L671" s="109"/>
    </row>
    <row r="672" spans="1:12" x14ac:dyDescent="0.25">
      <c r="A672" s="76" t="s">
        <v>1103</v>
      </c>
      <c r="B672" s="79" t="s">
        <v>1104</v>
      </c>
      <c r="C672" s="79" t="s">
        <v>1105</v>
      </c>
      <c r="D672" s="24"/>
      <c r="E672" s="25">
        <f>SUM(E673:E677)</f>
        <v>4538.1000000000004</v>
      </c>
      <c r="F672" s="25">
        <f>SUM(F673:F677)</f>
        <v>4230.3</v>
      </c>
      <c r="G672" s="25">
        <f>SUM(G673:G677)</f>
        <v>3808.6000000000004</v>
      </c>
      <c r="H672" s="24" t="s">
        <v>1106</v>
      </c>
      <c r="I672" s="26" t="s">
        <v>28</v>
      </c>
      <c r="J672" s="26">
        <v>40</v>
      </c>
      <c r="K672" s="26">
        <v>80</v>
      </c>
      <c r="L672" s="27">
        <v>100</v>
      </c>
    </row>
    <row r="673" spans="1:12" x14ac:dyDescent="0.25">
      <c r="A673" s="77"/>
      <c r="B673" s="80"/>
      <c r="C673" s="80"/>
      <c r="D673" s="1" t="s">
        <v>539</v>
      </c>
      <c r="E673" s="28">
        <v>0</v>
      </c>
      <c r="F673" s="28">
        <v>0</v>
      </c>
      <c r="G673" s="28">
        <v>2000</v>
      </c>
      <c r="H673" s="106" t="s">
        <v>1107</v>
      </c>
      <c r="I673" s="107" t="s">
        <v>28</v>
      </c>
      <c r="J673" s="107"/>
      <c r="K673" s="107">
        <v>60</v>
      </c>
      <c r="L673" s="108">
        <v>100</v>
      </c>
    </row>
    <row r="674" spans="1:12" x14ac:dyDescent="0.25">
      <c r="A674" s="77"/>
      <c r="B674" s="80"/>
      <c r="C674" s="80"/>
      <c r="D674" s="1" t="s">
        <v>44</v>
      </c>
      <c r="E674" s="28">
        <v>721.1</v>
      </c>
      <c r="F674" s="28">
        <v>203.9</v>
      </c>
      <c r="G674" s="28">
        <v>311.3</v>
      </c>
      <c r="H674" s="80"/>
      <c r="I674" s="100"/>
      <c r="J674" s="100"/>
      <c r="K674" s="100"/>
      <c r="L674" s="110"/>
    </row>
    <row r="675" spans="1:12" x14ac:dyDescent="0.25">
      <c r="A675" s="77"/>
      <c r="B675" s="80"/>
      <c r="C675" s="80"/>
      <c r="D675" s="1" t="s">
        <v>31</v>
      </c>
      <c r="E675" s="28">
        <v>653.29999999999995</v>
      </c>
      <c r="F675" s="28">
        <v>698.8</v>
      </c>
      <c r="G675" s="28">
        <v>259.8</v>
      </c>
      <c r="H675" s="80"/>
      <c r="I675" s="100"/>
      <c r="J675" s="100"/>
      <c r="K675" s="100"/>
      <c r="L675" s="110"/>
    </row>
    <row r="676" spans="1:12" x14ac:dyDescent="0.25">
      <c r="A676" s="77"/>
      <c r="B676" s="80"/>
      <c r="C676" s="80"/>
      <c r="D676" s="1" t="s">
        <v>33</v>
      </c>
      <c r="E676" s="28">
        <v>3110.6</v>
      </c>
      <c r="F676" s="28">
        <v>3327.6</v>
      </c>
      <c r="G676" s="28">
        <v>1237.5</v>
      </c>
      <c r="H676" s="80"/>
      <c r="I676" s="100"/>
      <c r="J676" s="100"/>
      <c r="K676" s="100"/>
      <c r="L676" s="110"/>
    </row>
    <row r="677" spans="1:12" ht="15.75" thickBot="1" x14ac:dyDescent="0.3">
      <c r="A677" s="78"/>
      <c r="B677" s="81"/>
      <c r="C677" s="81"/>
      <c r="D677" s="1" t="s">
        <v>29</v>
      </c>
      <c r="E677" s="28">
        <v>53.1</v>
      </c>
      <c r="F677" s="28"/>
      <c r="G677" s="28"/>
      <c r="H677" s="81"/>
      <c r="I677" s="101"/>
      <c r="J677" s="101"/>
      <c r="K677" s="101"/>
      <c r="L677" s="109"/>
    </row>
    <row r="678" spans="1:12" x14ac:dyDescent="0.25">
      <c r="A678" s="76" t="s">
        <v>1108</v>
      </c>
      <c r="B678" s="79" t="s">
        <v>1109</v>
      </c>
      <c r="C678" s="79" t="s">
        <v>1094</v>
      </c>
      <c r="D678" s="24"/>
      <c r="E678" s="25">
        <f>SUM(E679:E681)</f>
        <v>1054.4000000000001</v>
      </c>
      <c r="F678" s="25">
        <f>SUM(F679:F681)</f>
        <v>650</v>
      </c>
      <c r="G678" s="25">
        <f>SUM(G679:G681)</f>
        <v>0</v>
      </c>
      <c r="H678" s="24" t="s">
        <v>1106</v>
      </c>
      <c r="I678" s="26" t="s">
        <v>28</v>
      </c>
      <c r="J678" s="26">
        <v>50</v>
      </c>
      <c r="K678" s="26">
        <v>100</v>
      </c>
      <c r="L678" s="27"/>
    </row>
    <row r="679" spans="1:12" ht="30" x14ac:dyDescent="0.25">
      <c r="A679" s="77"/>
      <c r="B679" s="80"/>
      <c r="C679" s="80"/>
      <c r="D679" s="1" t="s">
        <v>29</v>
      </c>
      <c r="E679" s="28">
        <v>249.4</v>
      </c>
      <c r="F679" s="28">
        <v>0</v>
      </c>
      <c r="G679" s="28">
        <v>0</v>
      </c>
      <c r="H679" s="1" t="s">
        <v>1110</v>
      </c>
      <c r="I679" s="2" t="s">
        <v>28</v>
      </c>
      <c r="J679" s="2">
        <v>40</v>
      </c>
      <c r="K679" s="2">
        <v>41</v>
      </c>
      <c r="L679" s="29"/>
    </row>
    <row r="680" spans="1:12" x14ac:dyDescent="0.25">
      <c r="A680" s="77"/>
      <c r="B680" s="80"/>
      <c r="C680" s="80"/>
      <c r="D680" s="1" t="s">
        <v>44</v>
      </c>
      <c r="E680" s="28">
        <v>105</v>
      </c>
      <c r="F680" s="28">
        <v>150</v>
      </c>
      <c r="G680" s="28">
        <v>0</v>
      </c>
      <c r="H680" s="1" t="s">
        <v>1111</v>
      </c>
      <c r="I680" s="2" t="s">
        <v>361</v>
      </c>
      <c r="J680" s="2"/>
      <c r="K680" s="2">
        <v>10</v>
      </c>
      <c r="L680" s="29"/>
    </row>
    <row r="681" spans="1:12" ht="15.75" thickBot="1" x14ac:dyDescent="0.3">
      <c r="A681" s="78"/>
      <c r="B681" s="81"/>
      <c r="C681" s="81"/>
      <c r="D681" s="1" t="s">
        <v>33</v>
      </c>
      <c r="E681" s="28">
        <v>700</v>
      </c>
      <c r="F681" s="28">
        <v>500</v>
      </c>
      <c r="G681" s="28">
        <v>0</v>
      </c>
      <c r="H681" s="1" t="s">
        <v>1112</v>
      </c>
      <c r="I681" s="2" t="s">
        <v>123</v>
      </c>
      <c r="J681" s="2"/>
      <c r="K681" s="2">
        <v>10</v>
      </c>
      <c r="L681" s="29"/>
    </row>
    <row r="682" spans="1:12" x14ac:dyDescent="0.25">
      <c r="A682" s="76" t="s">
        <v>1113</v>
      </c>
      <c r="B682" s="79" t="s">
        <v>1114</v>
      </c>
      <c r="C682" s="79" t="s">
        <v>1094</v>
      </c>
      <c r="D682" s="24"/>
      <c r="E682" s="25">
        <f>SUM(E683:E685)</f>
        <v>970</v>
      </c>
      <c r="F682" s="25">
        <f>SUM(F683:F685)</f>
        <v>1650</v>
      </c>
      <c r="G682" s="25">
        <f>SUM(G683:G685)</f>
        <v>2022</v>
      </c>
      <c r="H682" s="24" t="s">
        <v>1106</v>
      </c>
      <c r="I682" s="26" t="s">
        <v>28</v>
      </c>
      <c r="J682" s="26">
        <v>13</v>
      </c>
      <c r="K682" s="26">
        <v>40</v>
      </c>
      <c r="L682" s="27">
        <v>100</v>
      </c>
    </row>
    <row r="683" spans="1:12" x14ac:dyDescent="0.25">
      <c r="A683" s="77"/>
      <c r="B683" s="80"/>
      <c r="C683" s="80"/>
      <c r="D683" s="1" t="s">
        <v>33</v>
      </c>
      <c r="E683" s="28">
        <v>400</v>
      </c>
      <c r="F683" s="28">
        <v>1500</v>
      </c>
      <c r="G683" s="28">
        <v>600</v>
      </c>
      <c r="H683" s="1" t="s">
        <v>1111</v>
      </c>
      <c r="I683" s="2" t="s">
        <v>361</v>
      </c>
      <c r="J683" s="2"/>
      <c r="K683" s="2"/>
      <c r="L683" s="29">
        <v>1</v>
      </c>
    </row>
    <row r="684" spans="1:12" ht="25.5" customHeight="1" x14ac:dyDescent="0.25">
      <c r="A684" s="77"/>
      <c r="B684" s="80"/>
      <c r="C684" s="80"/>
      <c r="D684" s="1" t="s">
        <v>44</v>
      </c>
      <c r="E684" s="28">
        <v>150</v>
      </c>
      <c r="F684" s="28">
        <v>150</v>
      </c>
      <c r="G684" s="28">
        <v>1422</v>
      </c>
      <c r="H684" s="106" t="s">
        <v>1115</v>
      </c>
      <c r="I684" s="107" t="s">
        <v>23</v>
      </c>
      <c r="J684" s="107"/>
      <c r="K684" s="107"/>
      <c r="L684" s="108">
        <v>90</v>
      </c>
    </row>
    <row r="685" spans="1:12" ht="15.75" thickBot="1" x14ac:dyDescent="0.3">
      <c r="A685" s="78"/>
      <c r="B685" s="81"/>
      <c r="C685" s="81"/>
      <c r="D685" s="1" t="s">
        <v>29</v>
      </c>
      <c r="E685" s="28">
        <v>420</v>
      </c>
      <c r="F685" s="28"/>
      <c r="G685" s="28"/>
      <c r="H685" s="81"/>
      <c r="I685" s="101"/>
      <c r="J685" s="101"/>
      <c r="K685" s="101"/>
      <c r="L685" s="109"/>
    </row>
    <row r="686" spans="1:12" ht="45" x14ac:dyDescent="0.25">
      <c r="A686" s="76" t="s">
        <v>1116</v>
      </c>
      <c r="B686" s="79" t="s">
        <v>1117</v>
      </c>
      <c r="C686" s="79" t="s">
        <v>1118</v>
      </c>
      <c r="D686" s="24"/>
      <c r="E686" s="25">
        <f>SUM(E687:E691)</f>
        <v>4467.7</v>
      </c>
      <c r="F686" s="25">
        <f>SUM(F687:F691)</f>
        <v>0</v>
      </c>
      <c r="G686" s="25">
        <f>SUM(G687:G691)</f>
        <v>0</v>
      </c>
      <c r="H686" s="24" t="s">
        <v>1119</v>
      </c>
      <c r="I686" s="26" t="s">
        <v>28</v>
      </c>
      <c r="J686" s="26">
        <v>100</v>
      </c>
      <c r="K686" s="26"/>
      <c r="L686" s="27"/>
    </row>
    <row r="687" spans="1:12" ht="60" x14ac:dyDescent="0.25">
      <c r="A687" s="77"/>
      <c r="B687" s="80"/>
      <c r="C687" s="80"/>
      <c r="D687" s="1" t="s">
        <v>29</v>
      </c>
      <c r="E687" s="28">
        <v>422.7</v>
      </c>
      <c r="F687" s="28">
        <v>0</v>
      </c>
      <c r="G687" s="28">
        <v>0</v>
      </c>
      <c r="H687" s="1" t="s">
        <v>1120</v>
      </c>
      <c r="I687" s="2" t="s">
        <v>28</v>
      </c>
      <c r="J687" s="2">
        <v>100</v>
      </c>
      <c r="K687" s="2"/>
      <c r="L687" s="29"/>
    </row>
    <row r="688" spans="1:12" ht="60" x14ac:dyDescent="0.25">
      <c r="A688" s="77"/>
      <c r="B688" s="80"/>
      <c r="C688" s="80"/>
      <c r="D688" s="1" t="s">
        <v>44</v>
      </c>
      <c r="E688" s="28">
        <v>250</v>
      </c>
      <c r="F688" s="28">
        <v>0</v>
      </c>
      <c r="G688" s="28">
        <v>0</v>
      </c>
      <c r="H688" s="1" t="s">
        <v>1121</v>
      </c>
      <c r="I688" s="2" t="s">
        <v>28</v>
      </c>
      <c r="J688" s="2">
        <v>100</v>
      </c>
      <c r="K688" s="2"/>
      <c r="L688" s="29"/>
    </row>
    <row r="689" spans="1:12" ht="45" x14ac:dyDescent="0.25">
      <c r="A689" s="77"/>
      <c r="B689" s="80"/>
      <c r="C689" s="80"/>
      <c r="D689" s="1" t="s">
        <v>31</v>
      </c>
      <c r="E689" s="28">
        <v>595</v>
      </c>
      <c r="F689" s="28">
        <v>0</v>
      </c>
      <c r="G689" s="28">
        <v>0</v>
      </c>
      <c r="H689" s="1" t="s">
        <v>1122</v>
      </c>
      <c r="I689" s="2" t="s">
        <v>28</v>
      </c>
      <c r="J689" s="2">
        <v>86</v>
      </c>
      <c r="K689" s="2"/>
      <c r="L689" s="29"/>
    </row>
    <row r="690" spans="1:12" ht="45" x14ac:dyDescent="0.25">
      <c r="A690" s="77"/>
      <c r="B690" s="80"/>
      <c r="C690" s="80"/>
      <c r="D690" s="1" t="s">
        <v>33</v>
      </c>
      <c r="E690" s="28">
        <v>3200</v>
      </c>
      <c r="F690" s="28">
        <v>0</v>
      </c>
      <c r="G690" s="28">
        <v>0</v>
      </c>
      <c r="H690" s="1" t="s">
        <v>1123</v>
      </c>
      <c r="I690" s="2" t="s">
        <v>28</v>
      </c>
      <c r="J690" s="2">
        <v>75</v>
      </c>
      <c r="K690" s="2"/>
      <c r="L690" s="29"/>
    </row>
    <row r="691" spans="1:12" ht="75.75" thickBot="1" x14ac:dyDescent="0.3">
      <c r="A691" s="78"/>
      <c r="B691" s="81"/>
      <c r="C691" s="81"/>
      <c r="D691" s="1"/>
      <c r="E691" s="28">
        <v>0</v>
      </c>
      <c r="F691" s="28">
        <v>0</v>
      </c>
      <c r="G691" s="28">
        <v>0</v>
      </c>
      <c r="H691" s="1" t="s">
        <v>1124</v>
      </c>
      <c r="I691" s="2" t="s">
        <v>28</v>
      </c>
      <c r="J691" s="2">
        <v>100</v>
      </c>
      <c r="K691" s="2"/>
      <c r="L691" s="29"/>
    </row>
    <row r="692" spans="1:12" x14ac:dyDescent="0.25">
      <c r="A692" s="76" t="s">
        <v>1125</v>
      </c>
      <c r="B692" s="79" t="s">
        <v>1126</v>
      </c>
      <c r="C692" s="79" t="s">
        <v>1094</v>
      </c>
      <c r="D692" s="24"/>
      <c r="E692" s="25">
        <f>SUM(E693:E695)</f>
        <v>827.9</v>
      </c>
      <c r="F692" s="25">
        <f>SUM(F693:F695)</f>
        <v>1290</v>
      </c>
      <c r="G692" s="25">
        <f>SUM(G693:G695)</f>
        <v>1843.8</v>
      </c>
      <c r="H692" s="24" t="s">
        <v>333</v>
      </c>
      <c r="I692" s="26" t="s">
        <v>23</v>
      </c>
      <c r="J692" s="26">
        <v>1</v>
      </c>
      <c r="K692" s="26"/>
      <c r="L692" s="27"/>
    </row>
    <row r="693" spans="1:12" x14ac:dyDescent="0.25">
      <c r="A693" s="77"/>
      <c r="B693" s="80"/>
      <c r="C693" s="80"/>
      <c r="D693" s="1" t="s">
        <v>44</v>
      </c>
      <c r="E693" s="28">
        <v>390</v>
      </c>
      <c r="F693" s="28">
        <v>290</v>
      </c>
      <c r="G693" s="28">
        <v>321.3</v>
      </c>
      <c r="H693" s="1" t="s">
        <v>1106</v>
      </c>
      <c r="I693" s="2" t="s">
        <v>28</v>
      </c>
      <c r="J693" s="2">
        <v>15</v>
      </c>
      <c r="K693" s="2">
        <v>45</v>
      </c>
      <c r="L693" s="29">
        <v>100</v>
      </c>
    </row>
    <row r="694" spans="1:12" x14ac:dyDescent="0.25">
      <c r="A694" s="77"/>
      <c r="B694" s="80"/>
      <c r="C694" s="80"/>
      <c r="D694" s="1" t="s">
        <v>33</v>
      </c>
      <c r="E694" s="28">
        <v>400</v>
      </c>
      <c r="F694" s="28">
        <v>1000</v>
      </c>
      <c r="G694" s="28">
        <v>1522.5</v>
      </c>
      <c r="H694" s="106" t="s">
        <v>1111</v>
      </c>
      <c r="I694" s="107" t="s">
        <v>361</v>
      </c>
      <c r="J694" s="107"/>
      <c r="K694" s="107"/>
      <c r="L694" s="108">
        <v>1</v>
      </c>
    </row>
    <row r="695" spans="1:12" ht="15.75" thickBot="1" x14ac:dyDescent="0.3">
      <c r="A695" s="78"/>
      <c r="B695" s="81"/>
      <c r="C695" s="81"/>
      <c r="D695" s="1" t="s">
        <v>29</v>
      </c>
      <c r="E695" s="28">
        <v>37.9</v>
      </c>
      <c r="F695" s="28"/>
      <c r="G695" s="28"/>
      <c r="H695" s="81"/>
      <c r="I695" s="101"/>
      <c r="J695" s="101"/>
      <c r="K695" s="101"/>
      <c r="L695" s="109"/>
    </row>
    <row r="696" spans="1:12" ht="21" customHeight="1" x14ac:dyDescent="0.25">
      <c r="A696" s="76" t="s">
        <v>1127</v>
      </c>
      <c r="B696" s="79" t="s">
        <v>1128</v>
      </c>
      <c r="C696" s="79" t="s">
        <v>1094</v>
      </c>
      <c r="D696" s="24"/>
      <c r="E696" s="25">
        <f>SUM(E697:E699)</f>
        <v>1629.2</v>
      </c>
      <c r="F696" s="25">
        <f>SUM(F697:F699)</f>
        <v>2005.5</v>
      </c>
      <c r="G696" s="25">
        <f>SUM(G697:G699)</f>
        <v>2054.5</v>
      </c>
      <c r="H696" s="24" t="s">
        <v>333</v>
      </c>
      <c r="I696" s="26" t="s">
        <v>23</v>
      </c>
      <c r="J696" s="26">
        <v>1</v>
      </c>
      <c r="K696" s="26"/>
      <c r="L696" s="27"/>
    </row>
    <row r="697" spans="1:12" x14ac:dyDescent="0.25">
      <c r="A697" s="77"/>
      <c r="B697" s="80"/>
      <c r="C697" s="80"/>
      <c r="D697" s="1" t="s">
        <v>44</v>
      </c>
      <c r="E697" s="28">
        <v>250</v>
      </c>
      <c r="F697" s="28">
        <v>173</v>
      </c>
      <c r="G697" s="28">
        <v>512</v>
      </c>
      <c r="H697" s="1" t="s">
        <v>1106</v>
      </c>
      <c r="I697" s="2" t="s">
        <v>28</v>
      </c>
      <c r="J697" s="2">
        <v>25</v>
      </c>
      <c r="K697" s="2">
        <v>55</v>
      </c>
      <c r="L697" s="29">
        <v>100</v>
      </c>
    </row>
    <row r="698" spans="1:12" x14ac:dyDescent="0.25">
      <c r="A698" s="77"/>
      <c r="B698" s="80"/>
      <c r="C698" s="80"/>
      <c r="D698" s="1" t="s">
        <v>33</v>
      </c>
      <c r="E698" s="28">
        <v>1300</v>
      </c>
      <c r="F698" s="28">
        <v>1832.5</v>
      </c>
      <c r="G698" s="28">
        <v>1542.5</v>
      </c>
      <c r="H698" s="106" t="s">
        <v>1111</v>
      </c>
      <c r="I698" s="107" t="s">
        <v>361</v>
      </c>
      <c r="J698" s="107"/>
      <c r="K698" s="107"/>
      <c r="L698" s="108">
        <v>1</v>
      </c>
    </row>
    <row r="699" spans="1:12" ht="15.75" thickBot="1" x14ac:dyDescent="0.3">
      <c r="A699" s="78"/>
      <c r="B699" s="81"/>
      <c r="C699" s="81"/>
      <c r="D699" s="1" t="s">
        <v>29</v>
      </c>
      <c r="E699" s="28">
        <v>79.2</v>
      </c>
      <c r="F699" s="28"/>
      <c r="G699" s="28"/>
      <c r="H699" s="81"/>
      <c r="I699" s="101"/>
      <c r="J699" s="101"/>
      <c r="K699" s="101"/>
      <c r="L699" s="109"/>
    </row>
    <row r="700" spans="1:12" x14ac:dyDescent="0.25">
      <c r="A700" s="76" t="s">
        <v>1129</v>
      </c>
      <c r="B700" s="79" t="s">
        <v>1130</v>
      </c>
      <c r="C700" s="79" t="s">
        <v>1094</v>
      </c>
      <c r="D700" s="24"/>
      <c r="E700" s="25">
        <f>SUM(E701:E704)</f>
        <v>510</v>
      </c>
      <c r="F700" s="25">
        <f>SUM(F701:F704)</f>
        <v>2230</v>
      </c>
      <c r="G700" s="25">
        <f>SUM(G701:G704)</f>
        <v>2875</v>
      </c>
      <c r="H700" s="24" t="s">
        <v>333</v>
      </c>
      <c r="I700" s="26" t="s">
        <v>23</v>
      </c>
      <c r="J700" s="26">
        <v>1</v>
      </c>
      <c r="K700" s="26"/>
      <c r="L700" s="27"/>
    </row>
    <row r="701" spans="1:12" x14ac:dyDescent="0.25">
      <c r="A701" s="77"/>
      <c r="B701" s="80"/>
      <c r="C701" s="80"/>
      <c r="D701" s="1" t="s">
        <v>539</v>
      </c>
      <c r="E701" s="28">
        <v>0</v>
      </c>
      <c r="F701" s="28">
        <v>0</v>
      </c>
      <c r="G701" s="28">
        <v>2000</v>
      </c>
      <c r="H701" s="1" t="s">
        <v>1106</v>
      </c>
      <c r="I701" s="2" t="s">
        <v>28</v>
      </c>
      <c r="J701" s="2">
        <v>6</v>
      </c>
      <c r="K701" s="2">
        <v>51</v>
      </c>
      <c r="L701" s="29">
        <v>100</v>
      </c>
    </row>
    <row r="702" spans="1:12" x14ac:dyDescent="0.25">
      <c r="A702" s="77"/>
      <c r="B702" s="80"/>
      <c r="C702" s="80"/>
      <c r="D702" s="1" t="s">
        <v>44</v>
      </c>
      <c r="E702" s="28">
        <v>260</v>
      </c>
      <c r="F702" s="28">
        <v>230</v>
      </c>
      <c r="G702" s="28">
        <v>525</v>
      </c>
      <c r="H702" s="106" t="s">
        <v>1111</v>
      </c>
      <c r="I702" s="107" t="s">
        <v>361</v>
      </c>
      <c r="J702" s="107"/>
      <c r="K702" s="107"/>
      <c r="L702" s="108">
        <v>1</v>
      </c>
    </row>
    <row r="703" spans="1:12" x14ac:dyDescent="0.25">
      <c r="A703" s="77"/>
      <c r="B703" s="80"/>
      <c r="C703" s="80"/>
      <c r="D703" s="1" t="s">
        <v>33</v>
      </c>
      <c r="E703" s="28">
        <v>200</v>
      </c>
      <c r="F703" s="28">
        <v>2000</v>
      </c>
      <c r="G703" s="28">
        <v>350</v>
      </c>
      <c r="H703" s="80"/>
      <c r="I703" s="100"/>
      <c r="J703" s="100"/>
      <c r="K703" s="100"/>
      <c r="L703" s="110"/>
    </row>
    <row r="704" spans="1:12" ht="15.75" thickBot="1" x14ac:dyDescent="0.3">
      <c r="A704" s="78"/>
      <c r="B704" s="81"/>
      <c r="C704" s="81"/>
      <c r="D704" s="1" t="s">
        <v>29</v>
      </c>
      <c r="E704" s="28">
        <v>50</v>
      </c>
      <c r="F704" s="28"/>
      <c r="G704" s="28"/>
      <c r="H704" s="81"/>
      <c r="I704" s="101"/>
      <c r="J704" s="101"/>
      <c r="K704" s="101"/>
      <c r="L704" s="109"/>
    </row>
    <row r="705" spans="1:12" ht="50.25" customHeight="1" x14ac:dyDescent="0.25">
      <c r="A705" s="76" t="s">
        <v>1131</v>
      </c>
      <c r="B705" s="79" t="s">
        <v>1132</v>
      </c>
      <c r="C705" s="79" t="s">
        <v>1094</v>
      </c>
      <c r="D705" s="24"/>
      <c r="E705" s="25">
        <f>SUM(E706:E707)</f>
        <v>3200</v>
      </c>
      <c r="F705" s="25">
        <f>SUM(F706:F707)</f>
        <v>1705</v>
      </c>
      <c r="G705" s="25">
        <f>SUM(G706:G707)</f>
        <v>0</v>
      </c>
      <c r="H705" s="79" t="s">
        <v>1106</v>
      </c>
      <c r="I705" s="99" t="s">
        <v>28</v>
      </c>
      <c r="J705" s="99">
        <v>60</v>
      </c>
      <c r="K705" s="99">
        <v>100</v>
      </c>
      <c r="L705" s="111"/>
    </row>
    <row r="706" spans="1:12" x14ac:dyDescent="0.25">
      <c r="A706" s="77"/>
      <c r="B706" s="80"/>
      <c r="C706" s="80"/>
      <c r="D706" s="1" t="s">
        <v>44</v>
      </c>
      <c r="E706" s="28">
        <v>480</v>
      </c>
      <c r="F706" s="28">
        <v>450</v>
      </c>
      <c r="G706" s="28">
        <v>0</v>
      </c>
      <c r="H706" s="80"/>
      <c r="I706" s="100"/>
      <c r="J706" s="100"/>
      <c r="K706" s="100"/>
      <c r="L706" s="110"/>
    </row>
    <row r="707" spans="1:12" ht="15.75" thickBot="1" x14ac:dyDescent="0.3">
      <c r="A707" s="78"/>
      <c r="B707" s="81"/>
      <c r="C707" s="81"/>
      <c r="D707" s="1" t="s">
        <v>33</v>
      </c>
      <c r="E707" s="28">
        <v>2720</v>
      </c>
      <c r="F707" s="28">
        <v>1255</v>
      </c>
      <c r="G707" s="28">
        <v>0</v>
      </c>
      <c r="H707" s="81"/>
      <c r="I707" s="101"/>
      <c r="J707" s="101"/>
      <c r="K707" s="101"/>
      <c r="L707" s="109"/>
    </row>
    <row r="708" spans="1:12" x14ac:dyDescent="0.25">
      <c r="A708" s="76" t="s">
        <v>1133</v>
      </c>
      <c r="B708" s="79" t="s">
        <v>1134</v>
      </c>
      <c r="C708" s="79" t="s">
        <v>1064</v>
      </c>
      <c r="D708" s="24"/>
      <c r="E708" s="25">
        <f>SUM(E709:E710)</f>
        <v>386.9</v>
      </c>
      <c r="F708" s="25">
        <f>SUM(F709:F710)</f>
        <v>0</v>
      </c>
      <c r="G708" s="25">
        <f>SUM(G709:G710)</f>
        <v>0</v>
      </c>
      <c r="H708" s="79" t="s">
        <v>1135</v>
      </c>
      <c r="I708" s="99" t="s">
        <v>28</v>
      </c>
      <c r="J708" s="99">
        <v>100</v>
      </c>
      <c r="K708" s="99">
        <v>0</v>
      </c>
      <c r="L708" s="111">
        <v>0</v>
      </c>
    </row>
    <row r="709" spans="1:12" x14ac:dyDescent="0.25">
      <c r="A709" s="77"/>
      <c r="B709" s="80"/>
      <c r="C709" s="80"/>
      <c r="D709" s="1" t="s">
        <v>44</v>
      </c>
      <c r="E709" s="28">
        <v>350</v>
      </c>
      <c r="F709" s="28">
        <v>0</v>
      </c>
      <c r="G709" s="28">
        <v>0</v>
      </c>
      <c r="H709" s="80"/>
      <c r="I709" s="100"/>
      <c r="J709" s="100"/>
      <c r="K709" s="100"/>
      <c r="L709" s="110"/>
    </row>
    <row r="710" spans="1:12" ht="15.75" thickBot="1" x14ac:dyDescent="0.3">
      <c r="A710" s="78"/>
      <c r="B710" s="81"/>
      <c r="C710" s="81"/>
      <c r="D710" s="1" t="s">
        <v>29</v>
      </c>
      <c r="E710" s="28">
        <v>36.9</v>
      </c>
      <c r="F710" s="28">
        <v>0</v>
      </c>
      <c r="G710" s="28">
        <v>0</v>
      </c>
      <c r="H710" s="81"/>
      <c r="I710" s="101"/>
      <c r="J710" s="101"/>
      <c r="K710" s="101"/>
      <c r="L710" s="109"/>
    </row>
    <row r="711" spans="1:12" ht="30.75" thickBot="1" x14ac:dyDescent="0.3">
      <c r="A711" s="30" t="s">
        <v>1136</v>
      </c>
      <c r="B711" s="31" t="s">
        <v>1137</v>
      </c>
      <c r="C711" s="24" t="s">
        <v>1064</v>
      </c>
      <c r="D711" s="24" t="s">
        <v>29</v>
      </c>
      <c r="E711" s="32">
        <v>436.5</v>
      </c>
      <c r="F711" s="32">
        <v>0</v>
      </c>
      <c r="G711" s="32">
        <v>0</v>
      </c>
      <c r="H711" s="24" t="s">
        <v>1138</v>
      </c>
      <c r="I711" s="26" t="s">
        <v>28</v>
      </c>
      <c r="J711" s="26">
        <v>100</v>
      </c>
      <c r="K711" s="26"/>
      <c r="L711" s="27"/>
    </row>
    <row r="712" spans="1:12" ht="45.75" thickBot="1" x14ac:dyDescent="0.3">
      <c r="A712" s="30" t="s">
        <v>1139</v>
      </c>
      <c r="B712" s="31" t="s">
        <v>1140</v>
      </c>
      <c r="C712" s="24" t="s">
        <v>1094</v>
      </c>
      <c r="D712" s="24" t="s">
        <v>29</v>
      </c>
      <c r="E712" s="32">
        <v>43.2</v>
      </c>
      <c r="F712" s="32">
        <v>0</v>
      </c>
      <c r="G712" s="32">
        <v>0</v>
      </c>
      <c r="H712" s="24" t="s">
        <v>1141</v>
      </c>
      <c r="I712" s="26" t="s">
        <v>28</v>
      </c>
      <c r="J712" s="26">
        <v>100</v>
      </c>
      <c r="K712" s="26"/>
      <c r="L712" s="27"/>
    </row>
    <row r="713" spans="1:12" ht="45" x14ac:dyDescent="0.25">
      <c r="A713" s="68" t="s">
        <v>1142</v>
      </c>
      <c r="B713" s="70" t="s">
        <v>1143</v>
      </c>
      <c r="C713" s="71"/>
      <c r="D713" s="72"/>
      <c r="E713" s="15">
        <f>E714+E715+E716+E717+E719+E721</f>
        <v>144</v>
      </c>
      <c r="F713" s="15">
        <f>F714+F715+F716+F717+F719+F721</f>
        <v>144</v>
      </c>
      <c r="G713" s="15">
        <f>G714+G715+G716+G717+G719+G721</f>
        <v>549</v>
      </c>
      <c r="H713" s="16" t="s">
        <v>1144</v>
      </c>
      <c r="I713" s="17" t="s">
        <v>104</v>
      </c>
      <c r="J713" s="17">
        <v>802.1</v>
      </c>
      <c r="K713" s="17">
        <v>750.3</v>
      </c>
      <c r="L713" s="34">
        <v>724.4</v>
      </c>
    </row>
    <row r="714" spans="1:12" ht="30" x14ac:dyDescent="0.25">
      <c r="A714" s="102"/>
      <c r="B714" s="103"/>
      <c r="C714" s="104"/>
      <c r="D714" s="105"/>
      <c r="E714" s="20">
        <v>0</v>
      </c>
      <c r="F714" s="20">
        <v>0</v>
      </c>
      <c r="G714" s="20">
        <v>0</v>
      </c>
      <c r="H714" s="21" t="s">
        <v>1145</v>
      </c>
      <c r="I714" s="22" t="s">
        <v>28</v>
      </c>
      <c r="J714" s="22">
        <v>8.4</v>
      </c>
      <c r="K714" s="22">
        <v>8.6</v>
      </c>
      <c r="L714" s="23">
        <v>8.8000000000000007</v>
      </c>
    </row>
    <row r="715" spans="1:12" ht="30.75" thickBot="1" x14ac:dyDescent="0.3">
      <c r="A715" s="69"/>
      <c r="B715" s="73"/>
      <c r="C715" s="74"/>
      <c r="D715" s="75"/>
      <c r="E715" s="20">
        <v>0</v>
      </c>
      <c r="F715" s="20">
        <v>0</v>
      </c>
      <c r="G715" s="20">
        <v>0</v>
      </c>
      <c r="H715" s="21" t="s">
        <v>1146</v>
      </c>
      <c r="I715" s="22" t="s">
        <v>104</v>
      </c>
      <c r="J715" s="39">
        <v>1482</v>
      </c>
      <c r="K715" s="39">
        <v>1647</v>
      </c>
      <c r="L715" s="40">
        <v>1812</v>
      </c>
    </row>
    <row r="716" spans="1:12" ht="30.75" thickBot="1" x14ac:dyDescent="0.3">
      <c r="A716" s="30" t="s">
        <v>1147</v>
      </c>
      <c r="B716" s="31" t="s">
        <v>1148</v>
      </c>
      <c r="C716" s="24" t="s">
        <v>984</v>
      </c>
      <c r="D716" s="24" t="s">
        <v>44</v>
      </c>
      <c r="E716" s="32">
        <v>119</v>
      </c>
      <c r="F716" s="32">
        <v>119</v>
      </c>
      <c r="G716" s="32">
        <v>119</v>
      </c>
      <c r="H716" s="24" t="s">
        <v>1149</v>
      </c>
      <c r="I716" s="26" t="s">
        <v>104</v>
      </c>
      <c r="J716" s="44">
        <v>1100</v>
      </c>
      <c r="K716" s="44">
        <v>1100</v>
      </c>
      <c r="L716" s="45">
        <v>1100</v>
      </c>
    </row>
    <row r="717" spans="1:12" ht="30" x14ac:dyDescent="0.25">
      <c r="A717" s="76" t="s">
        <v>1150</v>
      </c>
      <c r="B717" s="79" t="s">
        <v>1151</v>
      </c>
      <c r="C717" s="79" t="s">
        <v>180</v>
      </c>
      <c r="D717" s="24" t="s">
        <v>44</v>
      </c>
      <c r="E717" s="25">
        <f>SUM(E718:E718)</f>
        <v>0</v>
      </c>
      <c r="F717" s="25">
        <f>SUM(F718:F718)</f>
        <v>0</v>
      </c>
      <c r="G717" s="25">
        <f>SUM(G718:G718)+50</f>
        <v>50</v>
      </c>
      <c r="H717" s="24" t="s">
        <v>1152</v>
      </c>
      <c r="I717" s="26" t="s">
        <v>23</v>
      </c>
      <c r="J717" s="26">
        <v>0</v>
      </c>
      <c r="K717" s="26">
        <v>0</v>
      </c>
      <c r="L717" s="27">
        <v>1</v>
      </c>
    </row>
    <row r="718" spans="1:12" ht="30.75" thickBot="1" x14ac:dyDescent="0.3">
      <c r="A718" s="78"/>
      <c r="B718" s="81"/>
      <c r="C718" s="81"/>
      <c r="D718" s="1"/>
      <c r="E718" s="28">
        <v>0</v>
      </c>
      <c r="F718" s="28">
        <v>0</v>
      </c>
      <c r="G718" s="28">
        <v>0</v>
      </c>
      <c r="H718" s="1" t="s">
        <v>1153</v>
      </c>
      <c r="I718" s="2" t="s">
        <v>23</v>
      </c>
      <c r="J718" s="2">
        <v>0</v>
      </c>
      <c r="K718" s="2">
        <v>0</v>
      </c>
      <c r="L718" s="29">
        <v>1</v>
      </c>
    </row>
    <row r="719" spans="1:12" x14ac:dyDescent="0.25">
      <c r="A719" s="76" t="s">
        <v>1154</v>
      </c>
      <c r="B719" s="79" t="s">
        <v>1155</v>
      </c>
      <c r="C719" s="79" t="s">
        <v>180</v>
      </c>
      <c r="D719" s="24" t="s">
        <v>44</v>
      </c>
      <c r="E719" s="25">
        <f>SUM(E720:E720)</f>
        <v>0</v>
      </c>
      <c r="F719" s="25">
        <f>SUM(F720:F720)</f>
        <v>0</v>
      </c>
      <c r="G719" s="25">
        <f>SUM(G720:G720)+350</f>
        <v>350</v>
      </c>
      <c r="H719" s="24" t="s">
        <v>1156</v>
      </c>
      <c r="I719" s="26" t="s">
        <v>23</v>
      </c>
      <c r="J719" s="26">
        <v>0</v>
      </c>
      <c r="K719" s="26">
        <v>0</v>
      </c>
      <c r="L719" s="27">
        <v>1</v>
      </c>
    </row>
    <row r="720" spans="1:12" ht="30.75" thickBot="1" x14ac:dyDescent="0.3">
      <c r="A720" s="78"/>
      <c r="B720" s="81"/>
      <c r="C720" s="81"/>
      <c r="D720" s="1"/>
      <c r="E720" s="28">
        <v>0</v>
      </c>
      <c r="F720" s="28">
        <v>0</v>
      </c>
      <c r="G720" s="28">
        <v>0</v>
      </c>
      <c r="H720" s="1" t="s">
        <v>1157</v>
      </c>
      <c r="I720" s="2" t="s">
        <v>23</v>
      </c>
      <c r="J720" s="2">
        <v>0</v>
      </c>
      <c r="K720" s="2">
        <v>1</v>
      </c>
      <c r="L720" s="29">
        <v>0</v>
      </c>
    </row>
    <row r="721" spans="1:12" x14ac:dyDescent="0.25">
      <c r="A721" s="76" t="s">
        <v>1158</v>
      </c>
      <c r="B721" s="79" t="s">
        <v>179</v>
      </c>
      <c r="C721" s="79" t="s">
        <v>180</v>
      </c>
      <c r="D721" s="24" t="s">
        <v>44</v>
      </c>
      <c r="E721" s="25">
        <f>SUM(E722:E723)+25</f>
        <v>25</v>
      </c>
      <c r="F721" s="25">
        <f>SUM(F722:F723)+25</f>
        <v>25</v>
      </c>
      <c r="G721" s="25">
        <f>SUM(G722:G723)+30</f>
        <v>30</v>
      </c>
      <c r="H721" s="24" t="s">
        <v>1159</v>
      </c>
      <c r="I721" s="26" t="s">
        <v>23</v>
      </c>
      <c r="J721" s="26">
        <v>5</v>
      </c>
      <c r="K721" s="26">
        <v>6</v>
      </c>
      <c r="L721" s="27">
        <v>6</v>
      </c>
    </row>
    <row r="722" spans="1:12" x14ac:dyDescent="0.25">
      <c r="A722" s="77"/>
      <c r="B722" s="80"/>
      <c r="C722" s="80"/>
      <c r="D722" s="1"/>
      <c r="E722" s="28">
        <v>0</v>
      </c>
      <c r="F722" s="28">
        <v>0</v>
      </c>
      <c r="G722" s="28">
        <v>0</v>
      </c>
      <c r="H722" s="1" t="s">
        <v>1160</v>
      </c>
      <c r="I722" s="2" t="s">
        <v>104</v>
      </c>
      <c r="J722" s="35">
        <v>1000</v>
      </c>
      <c r="K722" s="35">
        <v>1000</v>
      </c>
      <c r="L722" s="36">
        <v>1000</v>
      </c>
    </row>
    <row r="723" spans="1:12" ht="33" customHeight="1" thickBot="1" x14ac:dyDescent="0.3">
      <c r="A723" s="78"/>
      <c r="B723" s="81"/>
      <c r="C723" s="81"/>
      <c r="D723" s="1"/>
      <c r="E723" s="28">
        <v>0</v>
      </c>
      <c r="F723" s="28">
        <v>0</v>
      </c>
      <c r="G723" s="28">
        <v>0</v>
      </c>
      <c r="H723" s="1" t="s">
        <v>1161</v>
      </c>
      <c r="I723" s="2" t="s">
        <v>28</v>
      </c>
      <c r="J723" s="2">
        <v>0.6</v>
      </c>
      <c r="K723" s="2">
        <v>0.6</v>
      </c>
      <c r="L723" s="29">
        <v>0.6</v>
      </c>
    </row>
    <row r="724" spans="1:12" ht="30" x14ac:dyDescent="0.25">
      <c r="A724" s="68" t="s">
        <v>1162</v>
      </c>
      <c r="B724" s="70" t="s">
        <v>1163</v>
      </c>
      <c r="C724" s="71"/>
      <c r="D724" s="72"/>
      <c r="E724" s="15">
        <f>E725+E726+E727+E736+E738+E739+E742+E750+E753+E754+E763+E764+E765+E766+E768+E771</f>
        <v>130742.39999999998</v>
      </c>
      <c r="F724" s="15">
        <f>F725+F726+F727+F736+F738+F739+F742+F750+F753+F754+F763+F764+F765+F766+F768+F771</f>
        <v>131493.79999999999</v>
      </c>
      <c r="G724" s="15">
        <f>G725+G726+G727+G736+G738+G739+G742+G750+G753+G754+G763+G764+G765+G766+G768+G771</f>
        <v>132263.69999999998</v>
      </c>
      <c r="H724" s="16" t="s">
        <v>1164</v>
      </c>
      <c r="I724" s="17" t="s">
        <v>28</v>
      </c>
      <c r="J724" s="17">
        <v>73</v>
      </c>
      <c r="K724" s="17">
        <v>73</v>
      </c>
      <c r="L724" s="34">
        <v>73</v>
      </c>
    </row>
    <row r="725" spans="1:12" ht="30" x14ac:dyDescent="0.25">
      <c r="A725" s="102"/>
      <c r="B725" s="103"/>
      <c r="C725" s="104"/>
      <c r="D725" s="105"/>
      <c r="E725" s="20">
        <v>0</v>
      </c>
      <c r="F725" s="20">
        <v>0</v>
      </c>
      <c r="G725" s="20">
        <v>0</v>
      </c>
      <c r="H725" s="21" t="s">
        <v>1165</v>
      </c>
      <c r="I725" s="22" t="s">
        <v>104</v>
      </c>
      <c r="J725" s="22">
        <v>3</v>
      </c>
      <c r="K725" s="22">
        <v>3</v>
      </c>
      <c r="L725" s="23">
        <v>3</v>
      </c>
    </row>
    <row r="726" spans="1:12" ht="45.75" thickBot="1" x14ac:dyDescent="0.3">
      <c r="A726" s="69"/>
      <c r="B726" s="73"/>
      <c r="C726" s="74"/>
      <c r="D726" s="75"/>
      <c r="E726" s="20">
        <v>0</v>
      </c>
      <c r="F726" s="20">
        <v>0</v>
      </c>
      <c r="G726" s="20">
        <v>0</v>
      </c>
      <c r="H726" s="21" t="s">
        <v>1166</v>
      </c>
      <c r="I726" s="22" t="s">
        <v>28</v>
      </c>
      <c r="J726" s="22">
        <v>81.599999999999994</v>
      </c>
      <c r="K726" s="22">
        <v>82</v>
      </c>
      <c r="L726" s="23">
        <v>82</v>
      </c>
    </row>
    <row r="727" spans="1:12" x14ac:dyDescent="0.25">
      <c r="A727" s="76" t="s">
        <v>1167</v>
      </c>
      <c r="B727" s="79" t="s">
        <v>1168</v>
      </c>
      <c r="C727" s="79" t="s">
        <v>984</v>
      </c>
      <c r="D727" s="24"/>
      <c r="E727" s="25">
        <f>SUM(E728:E735)</f>
        <v>84501.799999999988</v>
      </c>
      <c r="F727" s="25">
        <f>SUM(F728:F735)</f>
        <v>84933.7</v>
      </c>
      <c r="G727" s="25">
        <f>SUM(G728:G735)</f>
        <v>85028.900000000009</v>
      </c>
      <c r="H727" s="24" t="s">
        <v>1169</v>
      </c>
      <c r="I727" s="26" t="s">
        <v>23</v>
      </c>
      <c r="J727" s="26">
        <v>30</v>
      </c>
      <c r="K727" s="26">
        <v>30</v>
      </c>
      <c r="L727" s="27">
        <v>30</v>
      </c>
    </row>
    <row r="728" spans="1:12" ht="30" x14ac:dyDescent="0.25">
      <c r="A728" s="77"/>
      <c r="B728" s="80"/>
      <c r="C728" s="80"/>
      <c r="D728" s="1" t="s">
        <v>29</v>
      </c>
      <c r="E728" s="28">
        <v>311.39999999999998</v>
      </c>
      <c r="F728" s="28">
        <v>0</v>
      </c>
      <c r="G728" s="28">
        <v>0</v>
      </c>
      <c r="H728" s="1" t="s">
        <v>1170</v>
      </c>
      <c r="I728" s="2" t="s">
        <v>104</v>
      </c>
      <c r="J728" s="35">
        <v>14700</v>
      </c>
      <c r="K728" s="35">
        <v>14700</v>
      </c>
      <c r="L728" s="36">
        <v>14700</v>
      </c>
    </row>
    <row r="729" spans="1:12" x14ac:dyDescent="0.25">
      <c r="A729" s="77"/>
      <c r="B729" s="80"/>
      <c r="C729" s="80"/>
      <c r="D729" s="1" t="s">
        <v>294</v>
      </c>
      <c r="E729" s="28">
        <v>1623.3</v>
      </c>
      <c r="F729" s="28">
        <v>1242.2</v>
      </c>
      <c r="G729" s="28">
        <v>902</v>
      </c>
      <c r="H729" s="1" t="s">
        <v>1171</v>
      </c>
      <c r="I729" s="2" t="s">
        <v>23</v>
      </c>
      <c r="J729" s="2">
        <v>1</v>
      </c>
      <c r="K729" s="2">
        <v>1</v>
      </c>
      <c r="L729" s="29">
        <v>1</v>
      </c>
    </row>
    <row r="730" spans="1:12" ht="27.75" customHeight="1" x14ac:dyDescent="0.25">
      <c r="A730" s="77"/>
      <c r="B730" s="80"/>
      <c r="C730" s="80"/>
      <c r="D730" s="1" t="s">
        <v>144</v>
      </c>
      <c r="E730" s="28">
        <v>912.6</v>
      </c>
      <c r="F730" s="28">
        <v>777.3</v>
      </c>
      <c r="G730" s="28">
        <v>746.7</v>
      </c>
      <c r="H730" s="1" t="s">
        <v>1172</v>
      </c>
      <c r="I730" s="2" t="s">
        <v>23</v>
      </c>
      <c r="J730" s="2">
        <v>1</v>
      </c>
      <c r="K730" s="2">
        <v>1</v>
      </c>
      <c r="L730" s="29">
        <v>1</v>
      </c>
    </row>
    <row r="731" spans="1:12" ht="30" x14ac:dyDescent="0.25">
      <c r="A731" s="77"/>
      <c r="B731" s="80"/>
      <c r="C731" s="80"/>
      <c r="D731" s="1" t="s">
        <v>31</v>
      </c>
      <c r="E731" s="28">
        <v>7178.5</v>
      </c>
      <c r="F731" s="28">
        <v>7178.5</v>
      </c>
      <c r="G731" s="28">
        <v>7178.5</v>
      </c>
      <c r="H731" s="1" t="s">
        <v>1173</v>
      </c>
      <c r="I731" s="2" t="s">
        <v>23</v>
      </c>
      <c r="J731" s="2">
        <v>30</v>
      </c>
      <c r="K731" s="2">
        <v>30</v>
      </c>
      <c r="L731" s="29">
        <v>30</v>
      </c>
    </row>
    <row r="732" spans="1:12" ht="45" x14ac:dyDescent="0.25">
      <c r="A732" s="77"/>
      <c r="B732" s="80"/>
      <c r="C732" s="80"/>
      <c r="D732" s="1" t="s">
        <v>116</v>
      </c>
      <c r="E732" s="28">
        <v>2078.6</v>
      </c>
      <c r="F732" s="28">
        <v>2080.3000000000002</v>
      </c>
      <c r="G732" s="28">
        <v>2082</v>
      </c>
      <c r="H732" s="1" t="s">
        <v>1174</v>
      </c>
      <c r="I732" s="2" t="s">
        <v>104</v>
      </c>
      <c r="J732" s="35">
        <v>14000</v>
      </c>
      <c r="K732" s="35">
        <v>14000</v>
      </c>
      <c r="L732" s="36">
        <v>14000</v>
      </c>
    </row>
    <row r="733" spans="1:12" ht="40.5" customHeight="1" x14ac:dyDescent="0.25">
      <c r="A733" s="77"/>
      <c r="B733" s="80"/>
      <c r="C733" s="80"/>
      <c r="D733" s="1" t="s">
        <v>1175</v>
      </c>
      <c r="E733" s="28">
        <v>53468.3</v>
      </c>
      <c r="F733" s="28">
        <v>54375.9</v>
      </c>
      <c r="G733" s="28">
        <v>54375.9</v>
      </c>
      <c r="H733" s="1" t="s">
        <v>1176</v>
      </c>
      <c r="I733" s="2" t="s">
        <v>23</v>
      </c>
      <c r="J733" s="2">
        <v>2</v>
      </c>
      <c r="K733" s="2">
        <v>2</v>
      </c>
      <c r="L733" s="29">
        <v>2</v>
      </c>
    </row>
    <row r="734" spans="1:12" ht="25.5" customHeight="1" x14ac:dyDescent="0.25">
      <c r="A734" s="77"/>
      <c r="B734" s="80"/>
      <c r="C734" s="80"/>
      <c r="D734" s="1" t="s">
        <v>44</v>
      </c>
      <c r="E734" s="28">
        <v>18723.099999999999</v>
      </c>
      <c r="F734" s="28">
        <v>19073.5</v>
      </c>
      <c r="G734" s="28">
        <v>19537.8</v>
      </c>
      <c r="H734" s="106" t="s">
        <v>1177</v>
      </c>
      <c r="I734" s="107" t="s">
        <v>23</v>
      </c>
      <c r="J734" s="107">
        <v>1</v>
      </c>
      <c r="K734" s="107">
        <v>1</v>
      </c>
      <c r="L734" s="108">
        <v>1</v>
      </c>
    </row>
    <row r="735" spans="1:12" ht="15.75" thickBot="1" x14ac:dyDescent="0.3">
      <c r="A735" s="78"/>
      <c r="B735" s="81"/>
      <c r="C735" s="81"/>
      <c r="D735" s="1" t="s">
        <v>291</v>
      </c>
      <c r="E735" s="28">
        <v>206</v>
      </c>
      <c r="F735" s="28">
        <v>206</v>
      </c>
      <c r="G735" s="28">
        <v>206</v>
      </c>
      <c r="H735" s="81"/>
      <c r="I735" s="101"/>
      <c r="J735" s="101"/>
      <c r="K735" s="101"/>
      <c r="L735" s="109"/>
    </row>
    <row r="736" spans="1:12" ht="30" x14ac:dyDescent="0.25">
      <c r="A736" s="76" t="s">
        <v>1178</v>
      </c>
      <c r="B736" s="79" t="s">
        <v>1179</v>
      </c>
      <c r="C736" s="79" t="s">
        <v>984</v>
      </c>
      <c r="D736" s="24" t="s">
        <v>1175</v>
      </c>
      <c r="E736" s="25">
        <f>SUM(E737:E737)+1270.4</f>
        <v>1270.4000000000001</v>
      </c>
      <c r="F736" s="25">
        <f>SUM(F737:F737)+1270.4</f>
        <v>1270.4000000000001</v>
      </c>
      <c r="G736" s="25">
        <f>SUM(G737:G737)+1270.4</f>
        <v>1270.4000000000001</v>
      </c>
      <c r="H736" s="24" t="s">
        <v>1180</v>
      </c>
      <c r="I736" s="26" t="s">
        <v>23</v>
      </c>
      <c r="J736" s="26">
        <v>52</v>
      </c>
      <c r="K736" s="26">
        <v>52</v>
      </c>
      <c r="L736" s="27">
        <v>52</v>
      </c>
    </row>
    <row r="737" spans="1:12" ht="30.75" thickBot="1" x14ac:dyDescent="0.3">
      <c r="A737" s="78"/>
      <c r="B737" s="81"/>
      <c r="C737" s="81"/>
      <c r="D737" s="1"/>
      <c r="E737" s="28">
        <v>0</v>
      </c>
      <c r="F737" s="28">
        <v>0</v>
      </c>
      <c r="G737" s="28">
        <v>0</v>
      </c>
      <c r="H737" s="1" t="s">
        <v>1181</v>
      </c>
      <c r="I737" s="2" t="s">
        <v>23</v>
      </c>
      <c r="J737" s="2">
        <v>30</v>
      </c>
      <c r="K737" s="2">
        <v>30</v>
      </c>
      <c r="L737" s="29">
        <v>30</v>
      </c>
    </row>
    <row r="738" spans="1:12" ht="30.75" thickBot="1" x14ac:dyDescent="0.3">
      <c r="A738" s="30" t="s">
        <v>1182</v>
      </c>
      <c r="B738" s="31" t="s">
        <v>1183</v>
      </c>
      <c r="C738" s="24" t="s">
        <v>984</v>
      </c>
      <c r="D738" s="24" t="s">
        <v>44</v>
      </c>
      <c r="E738" s="32">
        <v>80</v>
      </c>
      <c r="F738" s="32">
        <v>80</v>
      </c>
      <c r="G738" s="32">
        <v>80</v>
      </c>
      <c r="H738" s="24" t="s">
        <v>1184</v>
      </c>
      <c r="I738" s="26" t="s">
        <v>104</v>
      </c>
      <c r="J738" s="26">
        <v>650</v>
      </c>
      <c r="K738" s="26">
        <v>650</v>
      </c>
      <c r="L738" s="27">
        <v>650</v>
      </c>
    </row>
    <row r="739" spans="1:12" ht="38.25" customHeight="1" x14ac:dyDescent="0.25">
      <c r="A739" s="76" t="s">
        <v>1185</v>
      </c>
      <c r="B739" s="79" t="s">
        <v>1186</v>
      </c>
      <c r="C739" s="79" t="s">
        <v>984</v>
      </c>
      <c r="D739" s="24"/>
      <c r="E739" s="25">
        <f>SUM(E740:E741)</f>
        <v>1212.4000000000001</v>
      </c>
      <c r="F739" s="25">
        <f>SUM(F740:F741)</f>
        <v>1260.8</v>
      </c>
      <c r="G739" s="25">
        <f>SUM(G740:G741)</f>
        <v>1260.4000000000001</v>
      </c>
      <c r="H739" s="24" t="s">
        <v>1187</v>
      </c>
      <c r="I739" s="26" t="s">
        <v>23</v>
      </c>
      <c r="J739" s="26">
        <v>3</v>
      </c>
      <c r="K739" s="26">
        <v>3</v>
      </c>
      <c r="L739" s="27">
        <v>3</v>
      </c>
    </row>
    <row r="740" spans="1:12" ht="25.5" customHeight="1" x14ac:dyDescent="0.25">
      <c r="A740" s="77"/>
      <c r="B740" s="80"/>
      <c r="C740" s="80"/>
      <c r="D740" s="1" t="s">
        <v>44</v>
      </c>
      <c r="E740" s="28">
        <v>36.9</v>
      </c>
      <c r="F740" s="28">
        <v>85.3</v>
      </c>
      <c r="G740" s="28">
        <v>84.9</v>
      </c>
      <c r="H740" s="106" t="s">
        <v>1188</v>
      </c>
      <c r="I740" s="107" t="s">
        <v>23</v>
      </c>
      <c r="J740" s="107">
        <v>1</v>
      </c>
      <c r="K740" s="107">
        <v>1</v>
      </c>
      <c r="L740" s="108">
        <v>1</v>
      </c>
    </row>
    <row r="741" spans="1:12" ht="15.75" thickBot="1" x14ac:dyDescent="0.3">
      <c r="A741" s="78"/>
      <c r="B741" s="81"/>
      <c r="C741" s="81"/>
      <c r="D741" s="1" t="s">
        <v>1175</v>
      </c>
      <c r="E741" s="28">
        <v>1175.5</v>
      </c>
      <c r="F741" s="28">
        <v>1175.5</v>
      </c>
      <c r="G741" s="28">
        <v>1175.5</v>
      </c>
      <c r="H741" s="81"/>
      <c r="I741" s="101"/>
      <c r="J741" s="101"/>
      <c r="K741" s="101"/>
      <c r="L741" s="109"/>
    </row>
    <row r="742" spans="1:12" x14ac:dyDescent="0.25">
      <c r="A742" s="76" t="s">
        <v>1189</v>
      </c>
      <c r="B742" s="79" t="s">
        <v>1190</v>
      </c>
      <c r="C742" s="79" t="s">
        <v>1191</v>
      </c>
      <c r="D742" s="24"/>
      <c r="E742" s="25">
        <f>SUM(E743:E749)</f>
        <v>8402</v>
      </c>
      <c r="F742" s="25">
        <f>SUM(F743:F749)</f>
        <v>8216.5</v>
      </c>
      <c r="G742" s="25">
        <f>SUM(G743:G749)</f>
        <v>8463.9</v>
      </c>
      <c r="H742" s="24" t="s">
        <v>1192</v>
      </c>
      <c r="I742" s="26" t="s">
        <v>23</v>
      </c>
      <c r="J742" s="26">
        <v>8</v>
      </c>
      <c r="K742" s="26">
        <v>8</v>
      </c>
      <c r="L742" s="27">
        <v>8</v>
      </c>
    </row>
    <row r="743" spans="1:12" ht="30" x14ac:dyDescent="0.25">
      <c r="A743" s="77"/>
      <c r="B743" s="80"/>
      <c r="C743" s="80"/>
      <c r="D743" s="1" t="s">
        <v>29</v>
      </c>
      <c r="E743" s="28">
        <v>152.4</v>
      </c>
      <c r="F743" s="28">
        <v>0</v>
      </c>
      <c r="G743" s="28">
        <v>0</v>
      </c>
      <c r="H743" s="1" t="s">
        <v>1193</v>
      </c>
      <c r="I743" s="2" t="s">
        <v>104</v>
      </c>
      <c r="J743" s="35">
        <v>4630</v>
      </c>
      <c r="K743" s="35">
        <v>4630</v>
      </c>
      <c r="L743" s="36">
        <v>4630</v>
      </c>
    </row>
    <row r="744" spans="1:12" ht="30" x14ac:dyDescent="0.25">
      <c r="A744" s="77"/>
      <c r="B744" s="80"/>
      <c r="C744" s="80"/>
      <c r="D744" s="1" t="s">
        <v>144</v>
      </c>
      <c r="E744" s="28">
        <v>140.80000000000001</v>
      </c>
      <c r="F744" s="28">
        <v>101.3</v>
      </c>
      <c r="G744" s="28">
        <v>102.4</v>
      </c>
      <c r="H744" s="1" t="s">
        <v>1194</v>
      </c>
      <c r="I744" s="2" t="s">
        <v>104</v>
      </c>
      <c r="J744" s="35">
        <v>1110</v>
      </c>
      <c r="K744" s="35">
        <v>1110</v>
      </c>
      <c r="L744" s="36">
        <v>1110</v>
      </c>
    </row>
    <row r="745" spans="1:12" ht="30" x14ac:dyDescent="0.25">
      <c r="A745" s="77"/>
      <c r="B745" s="80"/>
      <c r="C745" s="80"/>
      <c r="D745" s="1" t="s">
        <v>116</v>
      </c>
      <c r="E745" s="28">
        <v>405</v>
      </c>
      <c r="F745" s="28">
        <v>405.2</v>
      </c>
      <c r="G745" s="28">
        <v>405.2</v>
      </c>
      <c r="H745" s="1" t="s">
        <v>1195</v>
      </c>
      <c r="I745" s="2" t="s">
        <v>23</v>
      </c>
      <c r="J745" s="2">
        <v>1</v>
      </c>
      <c r="K745" s="2">
        <v>1</v>
      </c>
      <c r="L745" s="29">
        <v>1</v>
      </c>
    </row>
    <row r="746" spans="1:12" ht="30" x14ac:dyDescent="0.25">
      <c r="A746" s="77"/>
      <c r="B746" s="80"/>
      <c r="C746" s="80"/>
      <c r="D746" s="1" t="s">
        <v>1175</v>
      </c>
      <c r="E746" s="28">
        <v>372.6</v>
      </c>
      <c r="F746" s="28">
        <v>372.6</v>
      </c>
      <c r="G746" s="28">
        <v>372.6</v>
      </c>
      <c r="H746" s="1" t="s">
        <v>1196</v>
      </c>
      <c r="I746" s="2" t="s">
        <v>23</v>
      </c>
      <c r="J746" s="2">
        <v>12</v>
      </c>
      <c r="K746" s="2">
        <v>12</v>
      </c>
      <c r="L746" s="29">
        <v>12</v>
      </c>
    </row>
    <row r="747" spans="1:12" ht="38.25" customHeight="1" x14ac:dyDescent="0.25">
      <c r="A747" s="77"/>
      <c r="B747" s="80"/>
      <c r="C747" s="80"/>
      <c r="D747" s="1" t="s">
        <v>294</v>
      </c>
      <c r="E747" s="28">
        <v>266.5</v>
      </c>
      <c r="F747" s="28">
        <v>101.4</v>
      </c>
      <c r="G747" s="28">
        <v>171.1</v>
      </c>
      <c r="H747" s="106" t="s">
        <v>1197</v>
      </c>
      <c r="I747" s="107" t="s">
        <v>23</v>
      </c>
      <c r="J747" s="107">
        <v>12</v>
      </c>
      <c r="K747" s="107">
        <v>12</v>
      </c>
      <c r="L747" s="108">
        <v>12</v>
      </c>
    </row>
    <row r="748" spans="1:12" x14ac:dyDescent="0.25">
      <c r="A748" s="77"/>
      <c r="B748" s="80"/>
      <c r="C748" s="80"/>
      <c r="D748" s="1" t="s">
        <v>44</v>
      </c>
      <c r="E748" s="28">
        <v>7054.7</v>
      </c>
      <c r="F748" s="28">
        <v>7231</v>
      </c>
      <c r="G748" s="28">
        <v>7407.6</v>
      </c>
      <c r="H748" s="80"/>
      <c r="I748" s="100"/>
      <c r="J748" s="100"/>
      <c r="K748" s="100"/>
      <c r="L748" s="110"/>
    </row>
    <row r="749" spans="1:12" ht="15.75" thickBot="1" x14ac:dyDescent="0.3">
      <c r="A749" s="78"/>
      <c r="B749" s="81"/>
      <c r="C749" s="81"/>
      <c r="D749" s="1" t="s">
        <v>291</v>
      </c>
      <c r="E749" s="28">
        <v>10</v>
      </c>
      <c r="F749" s="28">
        <v>5</v>
      </c>
      <c r="G749" s="28">
        <v>5</v>
      </c>
      <c r="H749" s="81"/>
      <c r="I749" s="101"/>
      <c r="J749" s="101"/>
      <c r="K749" s="101"/>
      <c r="L749" s="109"/>
    </row>
    <row r="750" spans="1:12" x14ac:dyDescent="0.25">
      <c r="A750" s="76" t="s">
        <v>1198</v>
      </c>
      <c r="B750" s="79" t="s">
        <v>1199</v>
      </c>
      <c r="C750" s="79" t="s">
        <v>984</v>
      </c>
      <c r="D750" s="24" t="s">
        <v>31</v>
      </c>
      <c r="E750" s="25">
        <f>SUM(E751:E752)+1055.5</f>
        <v>1055.5</v>
      </c>
      <c r="F750" s="25">
        <f>SUM(F751:F752)+1055.5</f>
        <v>1055.5</v>
      </c>
      <c r="G750" s="25">
        <f>SUM(G751:G752)+1055.5</f>
        <v>1055.5</v>
      </c>
      <c r="H750" s="24" t="s">
        <v>1200</v>
      </c>
      <c r="I750" s="26" t="s">
        <v>23</v>
      </c>
      <c r="J750" s="26">
        <v>120</v>
      </c>
      <c r="K750" s="26">
        <v>120</v>
      </c>
      <c r="L750" s="27">
        <v>120</v>
      </c>
    </row>
    <row r="751" spans="1:12" ht="14.25" customHeight="1" x14ac:dyDescent="0.25">
      <c r="A751" s="77"/>
      <c r="B751" s="80"/>
      <c r="C751" s="80"/>
      <c r="D751" s="1"/>
      <c r="E751" s="28">
        <v>0</v>
      </c>
      <c r="F751" s="28">
        <v>0</v>
      </c>
      <c r="G751" s="28">
        <v>0</v>
      </c>
      <c r="H751" s="1" t="s">
        <v>1201</v>
      </c>
      <c r="I751" s="2" t="s">
        <v>23</v>
      </c>
      <c r="J751" s="2">
        <v>55</v>
      </c>
      <c r="K751" s="2">
        <v>55</v>
      </c>
      <c r="L751" s="29">
        <v>55</v>
      </c>
    </row>
    <row r="752" spans="1:12" ht="45.75" thickBot="1" x14ac:dyDescent="0.3">
      <c r="A752" s="78"/>
      <c r="B752" s="81"/>
      <c r="C752" s="81"/>
      <c r="D752" s="1"/>
      <c r="E752" s="28">
        <v>0</v>
      </c>
      <c r="F752" s="28">
        <v>0</v>
      </c>
      <c r="G752" s="28">
        <v>0</v>
      </c>
      <c r="H752" s="1" t="s">
        <v>1202</v>
      </c>
      <c r="I752" s="2" t="s">
        <v>104</v>
      </c>
      <c r="J752" s="35">
        <v>3500</v>
      </c>
      <c r="K752" s="35">
        <v>3500</v>
      </c>
      <c r="L752" s="36">
        <v>3500</v>
      </c>
    </row>
    <row r="753" spans="1:12" ht="45.75" thickBot="1" x14ac:dyDescent="0.3">
      <c r="A753" s="30" t="s">
        <v>1203</v>
      </c>
      <c r="B753" s="31" t="s">
        <v>1204</v>
      </c>
      <c r="C753" s="24" t="s">
        <v>984</v>
      </c>
      <c r="D753" s="24" t="s">
        <v>44</v>
      </c>
      <c r="E753" s="32">
        <v>15</v>
      </c>
      <c r="F753" s="32">
        <v>15</v>
      </c>
      <c r="G753" s="32">
        <v>15</v>
      </c>
      <c r="H753" s="24" t="s">
        <v>1205</v>
      </c>
      <c r="I753" s="26" t="s">
        <v>104</v>
      </c>
      <c r="J753" s="26">
        <v>70</v>
      </c>
      <c r="K753" s="26">
        <v>70</v>
      </c>
      <c r="L753" s="27">
        <v>70</v>
      </c>
    </row>
    <row r="754" spans="1:12" x14ac:dyDescent="0.25">
      <c r="A754" s="76" t="s">
        <v>1206</v>
      </c>
      <c r="B754" s="79" t="s">
        <v>1207</v>
      </c>
      <c r="C754" s="79" t="s">
        <v>984</v>
      </c>
      <c r="D754" s="24"/>
      <c r="E754" s="25">
        <f>SUM(E755:E762)</f>
        <v>32047.5</v>
      </c>
      <c r="F754" s="25">
        <f>SUM(F755:F762)</f>
        <v>32393.599999999995</v>
      </c>
      <c r="G754" s="25">
        <f>SUM(G755:G762)</f>
        <v>32761.1</v>
      </c>
      <c r="H754" s="24" t="s">
        <v>1208</v>
      </c>
      <c r="I754" s="26" t="s">
        <v>23</v>
      </c>
      <c r="J754" s="26">
        <v>22</v>
      </c>
      <c r="K754" s="26">
        <v>22</v>
      </c>
      <c r="L754" s="27">
        <v>22</v>
      </c>
    </row>
    <row r="755" spans="1:12" ht="30" x14ac:dyDescent="0.25">
      <c r="A755" s="77"/>
      <c r="B755" s="80"/>
      <c r="C755" s="80"/>
      <c r="D755" s="1" t="s">
        <v>116</v>
      </c>
      <c r="E755" s="28">
        <v>2507.4</v>
      </c>
      <c r="F755" s="28">
        <v>2507.4</v>
      </c>
      <c r="G755" s="28">
        <v>2507.4</v>
      </c>
      <c r="H755" s="1" t="s">
        <v>1209</v>
      </c>
      <c r="I755" s="2" t="s">
        <v>104</v>
      </c>
      <c r="J755" s="35">
        <v>3300</v>
      </c>
      <c r="K755" s="35">
        <v>3300</v>
      </c>
      <c r="L755" s="36">
        <v>3300</v>
      </c>
    </row>
    <row r="756" spans="1:12" x14ac:dyDescent="0.25">
      <c r="A756" s="77"/>
      <c r="B756" s="80"/>
      <c r="C756" s="80"/>
      <c r="D756" s="1" t="s">
        <v>44</v>
      </c>
      <c r="E756" s="28">
        <v>15494.3</v>
      </c>
      <c r="F756" s="28">
        <v>15881.9</v>
      </c>
      <c r="G756" s="28">
        <v>16269.2</v>
      </c>
      <c r="H756" s="1" t="s">
        <v>1210</v>
      </c>
      <c r="I756" s="2" t="s">
        <v>23</v>
      </c>
      <c r="J756" s="2">
        <v>4</v>
      </c>
      <c r="K756" s="2">
        <v>4</v>
      </c>
      <c r="L756" s="29">
        <v>4</v>
      </c>
    </row>
    <row r="757" spans="1:12" ht="25.5" customHeight="1" x14ac:dyDescent="0.25">
      <c r="A757" s="77"/>
      <c r="B757" s="80"/>
      <c r="C757" s="80"/>
      <c r="D757" s="1" t="s">
        <v>1175</v>
      </c>
      <c r="E757" s="28">
        <v>13336.2</v>
      </c>
      <c r="F757" s="28">
        <v>13605.3</v>
      </c>
      <c r="G757" s="28">
        <v>13605.3</v>
      </c>
      <c r="H757" s="106" t="s">
        <v>1211</v>
      </c>
      <c r="I757" s="107" t="s">
        <v>23</v>
      </c>
      <c r="J757" s="107">
        <v>2</v>
      </c>
      <c r="K757" s="107">
        <v>2</v>
      </c>
      <c r="L757" s="108">
        <v>2</v>
      </c>
    </row>
    <row r="758" spans="1:12" x14ac:dyDescent="0.25">
      <c r="A758" s="77"/>
      <c r="B758" s="80"/>
      <c r="C758" s="80"/>
      <c r="D758" s="1" t="s">
        <v>294</v>
      </c>
      <c r="E758" s="28">
        <v>168.1</v>
      </c>
      <c r="F758" s="28">
        <v>110.6</v>
      </c>
      <c r="G758" s="28">
        <v>103.8</v>
      </c>
      <c r="H758" s="80"/>
      <c r="I758" s="100"/>
      <c r="J758" s="100"/>
      <c r="K758" s="100"/>
      <c r="L758" s="110"/>
    </row>
    <row r="759" spans="1:12" x14ac:dyDescent="0.25">
      <c r="A759" s="77"/>
      <c r="B759" s="80"/>
      <c r="C759" s="80"/>
      <c r="D759" s="1" t="s">
        <v>291</v>
      </c>
      <c r="E759" s="28">
        <v>273.7</v>
      </c>
      <c r="F759" s="28">
        <v>214.3</v>
      </c>
      <c r="G759" s="28">
        <v>214.3</v>
      </c>
      <c r="H759" s="80"/>
      <c r="I759" s="100"/>
      <c r="J759" s="100"/>
      <c r="K759" s="100"/>
      <c r="L759" s="110"/>
    </row>
    <row r="760" spans="1:12" x14ac:dyDescent="0.25">
      <c r="A760" s="77"/>
      <c r="B760" s="80"/>
      <c r="C760" s="80"/>
      <c r="D760" s="1" t="s">
        <v>144</v>
      </c>
      <c r="E760" s="28">
        <v>100.2</v>
      </c>
      <c r="F760" s="28">
        <v>74.099999999999994</v>
      </c>
      <c r="G760" s="28">
        <v>61.1</v>
      </c>
      <c r="H760" s="80"/>
      <c r="I760" s="100"/>
      <c r="J760" s="100"/>
      <c r="K760" s="100"/>
      <c r="L760" s="110"/>
    </row>
    <row r="761" spans="1:12" x14ac:dyDescent="0.25">
      <c r="A761" s="77"/>
      <c r="B761" s="80"/>
      <c r="C761" s="80"/>
      <c r="D761" s="1" t="s">
        <v>29</v>
      </c>
      <c r="E761" s="28">
        <v>121.1</v>
      </c>
      <c r="F761" s="28"/>
      <c r="G761" s="28"/>
      <c r="H761" s="80"/>
      <c r="I761" s="100"/>
      <c r="J761" s="100"/>
      <c r="K761" s="100"/>
      <c r="L761" s="110"/>
    </row>
    <row r="762" spans="1:12" ht="15.75" thickBot="1" x14ac:dyDescent="0.3">
      <c r="A762" s="78"/>
      <c r="B762" s="81"/>
      <c r="C762" s="81"/>
      <c r="D762" s="1" t="s">
        <v>31</v>
      </c>
      <c r="E762" s="28">
        <v>46.5</v>
      </c>
      <c r="F762" s="28"/>
      <c r="G762" s="28"/>
      <c r="H762" s="81"/>
      <c r="I762" s="101"/>
      <c r="J762" s="101"/>
      <c r="K762" s="101"/>
      <c r="L762" s="109"/>
    </row>
    <row r="763" spans="1:12" ht="30.75" thickBot="1" x14ac:dyDescent="0.3">
      <c r="A763" s="30" t="s">
        <v>1212</v>
      </c>
      <c r="B763" s="31" t="s">
        <v>1213</v>
      </c>
      <c r="C763" s="24" t="s">
        <v>984</v>
      </c>
      <c r="D763" s="24" t="s">
        <v>44</v>
      </c>
      <c r="E763" s="32">
        <v>340</v>
      </c>
      <c r="F763" s="32">
        <v>389.8</v>
      </c>
      <c r="G763" s="32">
        <v>450</v>
      </c>
      <c r="H763" s="24" t="s">
        <v>1214</v>
      </c>
      <c r="I763" s="26" t="s">
        <v>104</v>
      </c>
      <c r="J763" s="44">
        <v>1150</v>
      </c>
      <c r="K763" s="44">
        <v>1150</v>
      </c>
      <c r="L763" s="45">
        <v>1150</v>
      </c>
    </row>
    <row r="764" spans="1:12" ht="45" x14ac:dyDescent="0.25">
      <c r="A764" s="30" t="s">
        <v>1215</v>
      </c>
      <c r="B764" s="31" t="s">
        <v>1216</v>
      </c>
      <c r="C764" s="24" t="s">
        <v>984</v>
      </c>
      <c r="D764" s="24" t="s">
        <v>44</v>
      </c>
      <c r="E764" s="32">
        <v>187.2</v>
      </c>
      <c r="F764" s="32">
        <v>187.2</v>
      </c>
      <c r="G764" s="32">
        <v>187.2</v>
      </c>
      <c r="H764" s="24" t="s">
        <v>1217</v>
      </c>
      <c r="I764" s="26" t="s">
        <v>104</v>
      </c>
      <c r="J764" s="26">
        <v>360</v>
      </c>
      <c r="K764" s="26">
        <v>360</v>
      </c>
      <c r="L764" s="27">
        <v>360</v>
      </c>
    </row>
    <row r="765" spans="1:12" ht="45.75" thickBot="1" x14ac:dyDescent="0.3">
      <c r="A765" s="30" t="s">
        <v>1218</v>
      </c>
      <c r="B765" s="31" t="s">
        <v>1219</v>
      </c>
      <c r="C765" s="24" t="s">
        <v>984</v>
      </c>
      <c r="D765" s="24" t="s">
        <v>1175</v>
      </c>
      <c r="E765" s="32">
        <v>1050.5</v>
      </c>
      <c r="F765" s="32">
        <v>1111.2</v>
      </c>
      <c r="G765" s="32">
        <v>1111.2</v>
      </c>
      <c r="H765" s="24" t="s">
        <v>1220</v>
      </c>
      <c r="I765" s="26" t="s">
        <v>23</v>
      </c>
      <c r="J765" s="26">
        <v>5</v>
      </c>
      <c r="K765" s="26">
        <v>5</v>
      </c>
      <c r="L765" s="27">
        <v>5</v>
      </c>
    </row>
    <row r="766" spans="1:12" ht="29.25" customHeight="1" x14ac:dyDescent="0.25">
      <c r="A766" s="76" t="s">
        <v>1221</v>
      </c>
      <c r="B766" s="79" t="s">
        <v>1222</v>
      </c>
      <c r="C766" s="79" t="s">
        <v>984</v>
      </c>
      <c r="D766" s="24" t="s">
        <v>31</v>
      </c>
      <c r="E766" s="25">
        <f>SUM(E767:E767)+358.6</f>
        <v>358.6</v>
      </c>
      <c r="F766" s="25">
        <f>SUM(F767:F767)+358.6</f>
        <v>358.6</v>
      </c>
      <c r="G766" s="25">
        <f>SUM(G767:G767)+358.6</f>
        <v>358.6</v>
      </c>
      <c r="H766" s="24" t="s">
        <v>1223</v>
      </c>
      <c r="I766" s="26" t="s">
        <v>23</v>
      </c>
      <c r="J766" s="26">
        <v>30</v>
      </c>
      <c r="K766" s="26">
        <v>30</v>
      </c>
      <c r="L766" s="27">
        <v>30</v>
      </c>
    </row>
    <row r="767" spans="1:12" ht="15.75" thickBot="1" x14ac:dyDescent="0.3">
      <c r="A767" s="78"/>
      <c r="B767" s="81"/>
      <c r="C767" s="81"/>
      <c r="D767" s="1"/>
      <c r="E767" s="28">
        <v>0</v>
      </c>
      <c r="F767" s="28">
        <v>0</v>
      </c>
      <c r="G767" s="28">
        <v>0</v>
      </c>
      <c r="H767" s="1" t="s">
        <v>1224</v>
      </c>
      <c r="I767" s="2" t="s">
        <v>104</v>
      </c>
      <c r="J767" s="2">
        <v>27</v>
      </c>
      <c r="K767" s="2">
        <v>27</v>
      </c>
      <c r="L767" s="29">
        <v>27</v>
      </c>
    </row>
    <row r="768" spans="1:12" ht="30" x14ac:dyDescent="0.25">
      <c r="A768" s="76" t="s">
        <v>1225</v>
      </c>
      <c r="B768" s="79" t="s">
        <v>1226</v>
      </c>
      <c r="C768" s="79" t="s">
        <v>984</v>
      </c>
      <c r="D768" s="24"/>
      <c r="E768" s="25">
        <f>SUM(E769:E770)</f>
        <v>185</v>
      </c>
      <c r="F768" s="25">
        <f>SUM(F769:F770)</f>
        <v>185</v>
      </c>
      <c r="G768" s="25">
        <f>SUM(G769:G770)</f>
        <v>185</v>
      </c>
      <c r="H768" s="24" t="s">
        <v>1227</v>
      </c>
      <c r="I768" s="26" t="s">
        <v>23</v>
      </c>
      <c r="J768" s="26">
        <v>30</v>
      </c>
      <c r="K768" s="26">
        <v>30</v>
      </c>
      <c r="L768" s="27">
        <v>30</v>
      </c>
    </row>
    <row r="769" spans="1:12" ht="38.25" customHeight="1" x14ac:dyDescent="0.25">
      <c r="A769" s="77"/>
      <c r="B769" s="80"/>
      <c r="C769" s="80"/>
      <c r="D769" s="1" t="s">
        <v>44</v>
      </c>
      <c r="E769" s="28">
        <v>140</v>
      </c>
      <c r="F769" s="28">
        <v>185</v>
      </c>
      <c r="G769" s="28">
        <v>185</v>
      </c>
      <c r="H769" s="106" t="s">
        <v>1228</v>
      </c>
      <c r="I769" s="107" t="s">
        <v>123</v>
      </c>
      <c r="J769" s="107">
        <v>28</v>
      </c>
      <c r="K769" s="107">
        <v>28</v>
      </c>
      <c r="L769" s="108">
        <v>28</v>
      </c>
    </row>
    <row r="770" spans="1:12" ht="15.75" thickBot="1" x14ac:dyDescent="0.3">
      <c r="A770" s="78"/>
      <c r="B770" s="81"/>
      <c r="C770" s="81"/>
      <c r="D770" s="1" t="s">
        <v>29</v>
      </c>
      <c r="E770" s="28">
        <v>45</v>
      </c>
      <c r="F770" s="28"/>
      <c r="G770" s="28"/>
      <c r="H770" s="81"/>
      <c r="I770" s="101"/>
      <c r="J770" s="101"/>
      <c r="K770" s="101"/>
      <c r="L770" s="109"/>
    </row>
    <row r="771" spans="1:12" ht="30.75" thickBot="1" x14ac:dyDescent="0.3">
      <c r="A771" s="30" t="s">
        <v>1229</v>
      </c>
      <c r="B771" s="31" t="s">
        <v>1230</v>
      </c>
      <c r="C771" s="24" t="s">
        <v>1231</v>
      </c>
      <c r="D771" s="24" t="s">
        <v>33</v>
      </c>
      <c r="E771" s="32">
        <v>36.5</v>
      </c>
      <c r="F771" s="32">
        <v>36.5</v>
      </c>
      <c r="G771" s="32">
        <v>36.5</v>
      </c>
      <c r="H771" s="24" t="s">
        <v>1232</v>
      </c>
      <c r="I771" s="26" t="s">
        <v>28</v>
      </c>
      <c r="J771" s="26">
        <v>33</v>
      </c>
      <c r="K771" s="26">
        <v>66</v>
      </c>
      <c r="L771" s="27">
        <v>100</v>
      </c>
    </row>
    <row r="772" spans="1:12" ht="27" customHeight="1" thickBot="1" x14ac:dyDescent="0.3">
      <c r="A772" s="12" t="s">
        <v>1233</v>
      </c>
      <c r="B772" s="13" t="s">
        <v>1234</v>
      </c>
      <c r="C772" s="66" t="s">
        <v>206</v>
      </c>
      <c r="D772" s="67"/>
      <c r="E772" s="14">
        <f>E773+E805</f>
        <v>7415.5</v>
      </c>
      <c r="F772" s="14">
        <f>F773+F805</f>
        <v>5970.9999999999991</v>
      </c>
      <c r="G772" s="14">
        <f>G773+G805</f>
        <v>4995.8</v>
      </c>
      <c r="H772" s="93"/>
      <c r="I772" s="94"/>
      <c r="J772" s="94"/>
      <c r="K772" s="94"/>
      <c r="L772" s="95"/>
    </row>
    <row r="773" spans="1:12" ht="45" x14ac:dyDescent="0.25">
      <c r="A773" s="68" t="s">
        <v>1235</v>
      </c>
      <c r="B773" s="70" t="s">
        <v>1236</v>
      </c>
      <c r="C773" s="71"/>
      <c r="D773" s="72"/>
      <c r="E773" s="15">
        <f>E774+E775+E776+E782+E788+E794+E795+E796+E798+E803</f>
        <v>2587.5000000000005</v>
      </c>
      <c r="F773" s="15">
        <f>F774+F775+F776+F782+F788+F794+F795+F796+F798+F803</f>
        <v>2902.0999999999995</v>
      </c>
      <c r="G773" s="15">
        <f>G774+G775+G776+G782+G788+G794+G795+G796+G798+G803</f>
        <v>2580.8000000000002</v>
      </c>
      <c r="H773" s="16" t="s">
        <v>1237</v>
      </c>
      <c r="I773" s="17" t="s">
        <v>23</v>
      </c>
      <c r="J773" s="17">
        <v>2.2000000000000002</v>
      </c>
      <c r="K773" s="17">
        <v>2.2000000000000002</v>
      </c>
      <c r="L773" s="34">
        <v>2.2000000000000002</v>
      </c>
    </row>
    <row r="774" spans="1:12" ht="30" x14ac:dyDescent="0.25">
      <c r="A774" s="102"/>
      <c r="B774" s="103"/>
      <c r="C774" s="104"/>
      <c r="D774" s="105"/>
      <c r="E774" s="20">
        <v>0</v>
      </c>
      <c r="F774" s="20">
        <v>0</v>
      </c>
      <c r="G774" s="20">
        <v>0</v>
      </c>
      <c r="H774" s="21" t="s">
        <v>1238</v>
      </c>
      <c r="I774" s="22" t="s">
        <v>28</v>
      </c>
      <c r="J774" s="22">
        <v>80.2</v>
      </c>
      <c r="K774" s="22">
        <v>81.400000000000006</v>
      </c>
      <c r="L774" s="23">
        <v>82.6</v>
      </c>
    </row>
    <row r="775" spans="1:12" ht="30.75" thickBot="1" x14ac:dyDescent="0.3">
      <c r="A775" s="69"/>
      <c r="B775" s="73"/>
      <c r="C775" s="74"/>
      <c r="D775" s="75"/>
      <c r="E775" s="20">
        <v>0</v>
      </c>
      <c r="F775" s="20">
        <v>0</v>
      </c>
      <c r="G775" s="20">
        <v>0</v>
      </c>
      <c r="H775" s="21" t="s">
        <v>1239</v>
      </c>
      <c r="I775" s="22" t="s">
        <v>104</v>
      </c>
      <c r="J775" s="22">
        <v>14.5</v>
      </c>
      <c r="K775" s="22">
        <v>14</v>
      </c>
      <c r="L775" s="23">
        <v>13.5</v>
      </c>
    </row>
    <row r="776" spans="1:12" ht="14.25" customHeight="1" x14ac:dyDescent="0.25">
      <c r="A776" s="76" t="s">
        <v>1240</v>
      </c>
      <c r="B776" s="79" t="s">
        <v>1241</v>
      </c>
      <c r="C776" s="79" t="s">
        <v>1242</v>
      </c>
      <c r="D776" s="24"/>
      <c r="E776" s="25">
        <f>SUM(E777:E781)</f>
        <v>189.4</v>
      </c>
      <c r="F776" s="25">
        <f>SUM(F777:F781)</f>
        <v>320.70000000000005</v>
      </c>
      <c r="G776" s="25">
        <f>SUM(G777:G781)</f>
        <v>327.70000000000005</v>
      </c>
      <c r="H776" s="79" t="s">
        <v>1243</v>
      </c>
      <c r="I776" s="99" t="s">
        <v>104</v>
      </c>
      <c r="J776" s="99">
        <v>150</v>
      </c>
      <c r="K776" s="99">
        <v>150</v>
      </c>
      <c r="L776" s="111">
        <v>150</v>
      </c>
    </row>
    <row r="777" spans="1:12" x14ac:dyDescent="0.25">
      <c r="A777" s="77"/>
      <c r="B777" s="80"/>
      <c r="C777" s="80"/>
      <c r="D777" s="1" t="s">
        <v>29</v>
      </c>
      <c r="E777" s="28">
        <v>1.9</v>
      </c>
      <c r="F777" s="28">
        <v>0</v>
      </c>
      <c r="G777" s="28">
        <v>0</v>
      </c>
      <c r="H777" s="80"/>
      <c r="I777" s="100"/>
      <c r="J777" s="100"/>
      <c r="K777" s="100"/>
      <c r="L777" s="110"/>
    </row>
    <row r="778" spans="1:12" x14ac:dyDescent="0.25">
      <c r="A778" s="77"/>
      <c r="B778" s="80"/>
      <c r="C778" s="80"/>
      <c r="D778" s="1" t="s">
        <v>116</v>
      </c>
      <c r="E778" s="28">
        <v>1</v>
      </c>
      <c r="F778" s="28">
        <v>4</v>
      </c>
      <c r="G778" s="28">
        <v>4</v>
      </c>
      <c r="H778" s="80"/>
      <c r="I778" s="100"/>
      <c r="J778" s="100"/>
      <c r="K778" s="100"/>
      <c r="L778" s="110"/>
    </row>
    <row r="779" spans="1:12" x14ac:dyDescent="0.25">
      <c r="A779" s="77"/>
      <c r="B779" s="80"/>
      <c r="C779" s="80"/>
      <c r="D779" s="1" t="s">
        <v>44</v>
      </c>
      <c r="E779" s="28">
        <v>153.6</v>
      </c>
      <c r="F779" s="28">
        <v>283.8</v>
      </c>
      <c r="G779" s="28">
        <v>290.8</v>
      </c>
      <c r="H779" s="80"/>
      <c r="I779" s="100"/>
      <c r="J779" s="100"/>
      <c r="K779" s="100"/>
      <c r="L779" s="110"/>
    </row>
    <row r="780" spans="1:12" x14ac:dyDescent="0.25">
      <c r="A780" s="77"/>
      <c r="B780" s="80"/>
      <c r="C780" s="80"/>
      <c r="D780" s="1" t="s">
        <v>294</v>
      </c>
      <c r="E780" s="28">
        <v>26.6</v>
      </c>
      <c r="F780" s="28">
        <v>26.6</v>
      </c>
      <c r="G780" s="28">
        <v>26.6</v>
      </c>
      <c r="H780" s="80"/>
      <c r="I780" s="100"/>
      <c r="J780" s="100"/>
      <c r="K780" s="100"/>
      <c r="L780" s="110"/>
    </row>
    <row r="781" spans="1:12" ht="15.75" thickBot="1" x14ac:dyDescent="0.3">
      <c r="A781" s="78"/>
      <c r="B781" s="81"/>
      <c r="C781" s="81"/>
      <c r="D781" s="1" t="s">
        <v>144</v>
      </c>
      <c r="E781" s="28">
        <v>6.3</v>
      </c>
      <c r="F781" s="28">
        <v>6.3</v>
      </c>
      <c r="G781" s="28">
        <v>6.3</v>
      </c>
      <c r="H781" s="81"/>
      <c r="I781" s="101"/>
      <c r="J781" s="101"/>
      <c r="K781" s="101"/>
      <c r="L781" s="109"/>
    </row>
    <row r="782" spans="1:12" ht="30" x14ac:dyDescent="0.25">
      <c r="A782" s="76" t="s">
        <v>1244</v>
      </c>
      <c r="B782" s="79" t="s">
        <v>1245</v>
      </c>
      <c r="C782" s="79" t="s">
        <v>1246</v>
      </c>
      <c r="D782" s="24"/>
      <c r="E782" s="25">
        <f>SUM(E783:E787)</f>
        <v>1651.6000000000001</v>
      </c>
      <c r="F782" s="25">
        <f>SUM(F783:F787)</f>
        <v>1886.6999999999998</v>
      </c>
      <c r="G782" s="25">
        <f>SUM(G783:G787)</f>
        <v>1555.4</v>
      </c>
      <c r="H782" s="24" t="s">
        <v>1247</v>
      </c>
      <c r="I782" s="26" t="s">
        <v>23</v>
      </c>
      <c r="J782" s="26">
        <v>60</v>
      </c>
      <c r="K782" s="26">
        <v>60</v>
      </c>
      <c r="L782" s="27">
        <v>60</v>
      </c>
    </row>
    <row r="783" spans="1:12" ht="30" x14ac:dyDescent="0.25">
      <c r="A783" s="77"/>
      <c r="B783" s="80"/>
      <c r="C783" s="80"/>
      <c r="D783" s="1" t="s">
        <v>44</v>
      </c>
      <c r="E783" s="28">
        <v>547.70000000000005</v>
      </c>
      <c r="F783" s="28">
        <v>759.9</v>
      </c>
      <c r="G783" s="28">
        <v>405</v>
      </c>
      <c r="H783" s="1" t="s">
        <v>1248</v>
      </c>
      <c r="I783" s="2" t="s">
        <v>104</v>
      </c>
      <c r="J783" s="35">
        <v>30000</v>
      </c>
      <c r="K783" s="35">
        <v>50000</v>
      </c>
      <c r="L783" s="36">
        <v>45000</v>
      </c>
    </row>
    <row r="784" spans="1:12" ht="30" x14ac:dyDescent="0.25">
      <c r="A784" s="77"/>
      <c r="B784" s="80"/>
      <c r="C784" s="80"/>
      <c r="D784" s="1" t="s">
        <v>162</v>
      </c>
      <c r="E784" s="28">
        <v>1103.9000000000001</v>
      </c>
      <c r="F784" s="28">
        <v>1126.8</v>
      </c>
      <c r="G784" s="28">
        <v>1150.4000000000001</v>
      </c>
      <c r="H784" s="1" t="s">
        <v>1249</v>
      </c>
      <c r="I784" s="2" t="s">
        <v>23</v>
      </c>
      <c r="J784" s="2">
        <v>1</v>
      </c>
      <c r="K784" s="2">
        <v>1</v>
      </c>
      <c r="L784" s="29">
        <v>1</v>
      </c>
    </row>
    <row r="785" spans="1:12" ht="30" x14ac:dyDescent="0.25">
      <c r="A785" s="77"/>
      <c r="B785" s="80"/>
      <c r="C785" s="80"/>
      <c r="D785" s="1"/>
      <c r="E785" s="28">
        <v>0</v>
      </c>
      <c r="F785" s="28">
        <v>0</v>
      </c>
      <c r="G785" s="28">
        <v>0</v>
      </c>
      <c r="H785" s="1" t="s">
        <v>1250</v>
      </c>
      <c r="I785" s="2" t="s">
        <v>104</v>
      </c>
      <c r="J785" s="35">
        <v>17000</v>
      </c>
      <c r="K785" s="35">
        <v>17000</v>
      </c>
      <c r="L785" s="36">
        <v>15000</v>
      </c>
    </row>
    <row r="786" spans="1:12" x14ac:dyDescent="0.25">
      <c r="A786" s="77"/>
      <c r="B786" s="80"/>
      <c r="C786" s="80"/>
      <c r="D786" s="1"/>
      <c r="E786" s="28">
        <v>0</v>
      </c>
      <c r="F786" s="28">
        <v>0</v>
      </c>
      <c r="G786" s="28">
        <v>0</v>
      </c>
      <c r="H786" s="1" t="s">
        <v>1251</v>
      </c>
      <c r="I786" s="2" t="s">
        <v>104</v>
      </c>
      <c r="J786" s="2">
        <v>400</v>
      </c>
      <c r="K786" s="2">
        <v>400</v>
      </c>
      <c r="L786" s="29">
        <v>400</v>
      </c>
    </row>
    <row r="787" spans="1:12" ht="45.75" thickBot="1" x14ac:dyDescent="0.3">
      <c r="A787" s="78"/>
      <c r="B787" s="81"/>
      <c r="C787" s="81"/>
      <c r="D787" s="1"/>
      <c r="E787" s="28">
        <v>0</v>
      </c>
      <c r="F787" s="28">
        <v>0</v>
      </c>
      <c r="G787" s="28">
        <v>0</v>
      </c>
      <c r="H787" s="1" t="s">
        <v>1252</v>
      </c>
      <c r="I787" s="2" t="s">
        <v>104</v>
      </c>
      <c r="J787" s="2">
        <v>65</v>
      </c>
      <c r="K787" s="2">
        <v>65</v>
      </c>
      <c r="L787" s="29">
        <v>65</v>
      </c>
    </row>
    <row r="788" spans="1:12" ht="45" x14ac:dyDescent="0.25">
      <c r="A788" s="76" t="s">
        <v>1253</v>
      </c>
      <c r="B788" s="79" t="s">
        <v>1254</v>
      </c>
      <c r="C788" s="79" t="s">
        <v>1255</v>
      </c>
      <c r="D788" s="24" t="s">
        <v>162</v>
      </c>
      <c r="E788" s="25">
        <f>SUM(E789:E793)+153.7</f>
        <v>153.69999999999999</v>
      </c>
      <c r="F788" s="25">
        <f>SUM(F789:F793)+153.7</f>
        <v>153.69999999999999</v>
      </c>
      <c r="G788" s="25">
        <f>SUM(G789:G793)+153.7</f>
        <v>153.69999999999999</v>
      </c>
      <c r="H788" s="24" t="s">
        <v>1256</v>
      </c>
      <c r="I788" s="26" t="s">
        <v>104</v>
      </c>
      <c r="J788" s="44">
        <v>18190</v>
      </c>
      <c r="K788" s="44">
        <v>18990</v>
      </c>
      <c r="L788" s="45">
        <v>19892</v>
      </c>
    </row>
    <row r="789" spans="1:12" ht="30" x14ac:dyDescent="0.25">
      <c r="A789" s="77"/>
      <c r="B789" s="80"/>
      <c r="C789" s="80"/>
      <c r="D789" s="1"/>
      <c r="E789" s="28">
        <v>0</v>
      </c>
      <c r="F789" s="28">
        <v>0</v>
      </c>
      <c r="G789" s="28">
        <v>0</v>
      </c>
      <c r="H789" s="1" t="s">
        <v>1257</v>
      </c>
      <c r="I789" s="2" t="s">
        <v>104</v>
      </c>
      <c r="J789" s="35">
        <v>2820</v>
      </c>
      <c r="K789" s="35">
        <v>2820</v>
      </c>
      <c r="L789" s="36">
        <v>2820</v>
      </c>
    </row>
    <row r="790" spans="1:12" ht="30" x14ac:dyDescent="0.25">
      <c r="A790" s="77"/>
      <c r="B790" s="80"/>
      <c r="C790" s="80"/>
      <c r="D790" s="1"/>
      <c r="E790" s="28">
        <v>0</v>
      </c>
      <c r="F790" s="28">
        <v>0</v>
      </c>
      <c r="G790" s="28">
        <v>0</v>
      </c>
      <c r="H790" s="1" t="s">
        <v>1258</v>
      </c>
      <c r="I790" s="2" t="s">
        <v>104</v>
      </c>
      <c r="J790" s="35">
        <v>8500</v>
      </c>
      <c r="K790" s="35">
        <v>9200</v>
      </c>
      <c r="L790" s="36">
        <v>10000</v>
      </c>
    </row>
    <row r="791" spans="1:12" ht="30" x14ac:dyDescent="0.25">
      <c r="A791" s="77"/>
      <c r="B791" s="80"/>
      <c r="C791" s="80"/>
      <c r="D791" s="1"/>
      <c r="E791" s="28">
        <v>0</v>
      </c>
      <c r="F791" s="28">
        <v>0</v>
      </c>
      <c r="G791" s="28">
        <v>0</v>
      </c>
      <c r="H791" s="1" t="s">
        <v>1259</v>
      </c>
      <c r="I791" s="2" t="s">
        <v>104</v>
      </c>
      <c r="J791" s="35">
        <v>6700</v>
      </c>
      <c r="K791" s="35">
        <v>6800</v>
      </c>
      <c r="L791" s="36">
        <v>6900</v>
      </c>
    </row>
    <row r="792" spans="1:12" ht="30" x14ac:dyDescent="0.25">
      <c r="A792" s="77"/>
      <c r="B792" s="80"/>
      <c r="C792" s="80"/>
      <c r="D792" s="1"/>
      <c r="E792" s="28">
        <v>0</v>
      </c>
      <c r="F792" s="28">
        <v>0</v>
      </c>
      <c r="G792" s="28">
        <v>0</v>
      </c>
      <c r="H792" s="1" t="s">
        <v>1260</v>
      </c>
      <c r="I792" s="2" t="s">
        <v>104</v>
      </c>
      <c r="J792" s="2">
        <v>160</v>
      </c>
      <c r="K792" s="2">
        <v>160</v>
      </c>
      <c r="L792" s="29">
        <v>160</v>
      </c>
    </row>
    <row r="793" spans="1:12" ht="15.75" thickBot="1" x14ac:dyDescent="0.3">
      <c r="A793" s="78"/>
      <c r="B793" s="81"/>
      <c r="C793" s="81"/>
      <c r="D793" s="1"/>
      <c r="E793" s="28">
        <v>0</v>
      </c>
      <c r="F793" s="28">
        <v>0</v>
      </c>
      <c r="G793" s="28">
        <v>0</v>
      </c>
      <c r="H793" s="1" t="s">
        <v>1261</v>
      </c>
      <c r="I793" s="2" t="s">
        <v>23</v>
      </c>
      <c r="J793" s="2">
        <v>10</v>
      </c>
      <c r="K793" s="2">
        <v>10</v>
      </c>
      <c r="L793" s="29">
        <v>10</v>
      </c>
    </row>
    <row r="794" spans="1:12" ht="60.75" thickBot="1" x14ac:dyDescent="0.3">
      <c r="A794" s="30" t="s">
        <v>1262</v>
      </c>
      <c r="B794" s="31" t="s">
        <v>1263</v>
      </c>
      <c r="C794" s="24" t="s">
        <v>206</v>
      </c>
      <c r="D794" s="24" t="s">
        <v>44</v>
      </c>
      <c r="E794" s="32">
        <v>2</v>
      </c>
      <c r="F794" s="32">
        <v>2</v>
      </c>
      <c r="G794" s="32">
        <v>2</v>
      </c>
      <c r="H794" s="24" t="s">
        <v>1264</v>
      </c>
      <c r="I794" s="26" t="s">
        <v>104</v>
      </c>
      <c r="J794" s="26">
        <v>15</v>
      </c>
      <c r="K794" s="26">
        <v>15</v>
      </c>
      <c r="L794" s="27">
        <v>15</v>
      </c>
    </row>
    <row r="795" spans="1:12" ht="45.75" thickBot="1" x14ac:dyDescent="0.3">
      <c r="A795" s="30" t="s">
        <v>1265</v>
      </c>
      <c r="B795" s="31" t="s">
        <v>1266</v>
      </c>
      <c r="C795" s="24" t="s">
        <v>1267</v>
      </c>
      <c r="D795" s="24" t="s">
        <v>44</v>
      </c>
      <c r="E795" s="32">
        <v>15</v>
      </c>
      <c r="F795" s="32">
        <v>15</v>
      </c>
      <c r="G795" s="32">
        <v>15</v>
      </c>
      <c r="H795" s="24" t="s">
        <v>1268</v>
      </c>
      <c r="I795" s="26" t="s">
        <v>23</v>
      </c>
      <c r="J795" s="26">
        <v>800</v>
      </c>
      <c r="K795" s="26">
        <v>800</v>
      </c>
      <c r="L795" s="27">
        <v>800</v>
      </c>
    </row>
    <row r="796" spans="1:12" ht="30" x14ac:dyDescent="0.25">
      <c r="A796" s="76" t="s">
        <v>1269</v>
      </c>
      <c r="B796" s="79" t="s">
        <v>1270</v>
      </c>
      <c r="C796" s="79" t="s">
        <v>206</v>
      </c>
      <c r="D796" s="24" t="s">
        <v>44</v>
      </c>
      <c r="E796" s="25">
        <f>SUM(E797:E797)+316</f>
        <v>316</v>
      </c>
      <c r="F796" s="25">
        <f>SUM(F797:F797)+316</f>
        <v>316</v>
      </c>
      <c r="G796" s="25">
        <f>SUM(G797:G797)+316</f>
        <v>316</v>
      </c>
      <c r="H796" s="24" t="s">
        <v>1271</v>
      </c>
      <c r="I796" s="26" t="s">
        <v>104</v>
      </c>
      <c r="J796" s="26">
        <v>14</v>
      </c>
      <c r="K796" s="26">
        <v>14</v>
      </c>
      <c r="L796" s="27">
        <v>14</v>
      </c>
    </row>
    <row r="797" spans="1:12" ht="15.75" thickBot="1" x14ac:dyDescent="0.3">
      <c r="A797" s="78"/>
      <c r="B797" s="81"/>
      <c r="C797" s="81"/>
      <c r="D797" s="1"/>
      <c r="E797" s="28">
        <v>0</v>
      </c>
      <c r="F797" s="28">
        <v>0</v>
      </c>
      <c r="G797" s="28">
        <v>0</v>
      </c>
      <c r="H797" s="1" t="s">
        <v>1272</v>
      </c>
      <c r="I797" s="2" t="s">
        <v>104</v>
      </c>
      <c r="J797" s="2">
        <v>8</v>
      </c>
      <c r="K797" s="2">
        <v>8</v>
      </c>
      <c r="L797" s="29">
        <v>8</v>
      </c>
    </row>
    <row r="798" spans="1:12" ht="30" x14ac:dyDescent="0.25">
      <c r="A798" s="76" t="s">
        <v>1273</v>
      </c>
      <c r="B798" s="79" t="s">
        <v>1274</v>
      </c>
      <c r="C798" s="79" t="s">
        <v>206</v>
      </c>
      <c r="D798" s="24"/>
      <c r="E798" s="25">
        <f>SUM(E799:E802)</f>
        <v>244.8</v>
      </c>
      <c r="F798" s="25">
        <f>SUM(F799:F802)</f>
        <v>190</v>
      </c>
      <c r="G798" s="25">
        <f>SUM(G799:G802)</f>
        <v>190</v>
      </c>
      <c r="H798" s="24" t="s">
        <v>1275</v>
      </c>
      <c r="I798" s="26" t="s">
        <v>104</v>
      </c>
      <c r="J798" s="44">
        <v>7000</v>
      </c>
      <c r="K798" s="44">
        <v>7100</v>
      </c>
      <c r="L798" s="45">
        <v>7200</v>
      </c>
    </row>
    <row r="799" spans="1:12" ht="45" x14ac:dyDescent="0.25">
      <c r="A799" s="77"/>
      <c r="B799" s="80"/>
      <c r="C799" s="80"/>
      <c r="D799" s="1" t="s">
        <v>403</v>
      </c>
      <c r="E799" s="28">
        <v>54.8</v>
      </c>
      <c r="F799" s="28">
        <v>0</v>
      </c>
      <c r="G799" s="28">
        <v>0</v>
      </c>
      <c r="H799" s="1" t="s">
        <v>1276</v>
      </c>
      <c r="I799" s="2" t="s">
        <v>104</v>
      </c>
      <c r="J799" s="2">
        <v>5</v>
      </c>
      <c r="K799" s="2">
        <v>5</v>
      </c>
      <c r="L799" s="29">
        <v>5</v>
      </c>
    </row>
    <row r="800" spans="1:12" ht="30" x14ac:dyDescent="0.25">
      <c r="A800" s="77"/>
      <c r="B800" s="80"/>
      <c r="C800" s="80"/>
      <c r="D800" s="1" t="s">
        <v>380</v>
      </c>
      <c r="E800" s="28">
        <v>120</v>
      </c>
      <c r="F800" s="28">
        <v>120</v>
      </c>
      <c r="G800" s="28">
        <v>120</v>
      </c>
      <c r="H800" s="1" t="s">
        <v>1277</v>
      </c>
      <c r="I800" s="2" t="s">
        <v>23</v>
      </c>
      <c r="J800" s="2">
        <v>2</v>
      </c>
      <c r="K800" s="2">
        <v>2</v>
      </c>
      <c r="L800" s="29">
        <v>2</v>
      </c>
    </row>
    <row r="801" spans="1:12" ht="30" x14ac:dyDescent="0.25">
      <c r="A801" s="77"/>
      <c r="B801" s="80"/>
      <c r="C801" s="80"/>
      <c r="D801" s="1" t="s">
        <v>44</v>
      </c>
      <c r="E801" s="28">
        <v>70</v>
      </c>
      <c r="F801" s="28">
        <v>70</v>
      </c>
      <c r="G801" s="28">
        <v>70</v>
      </c>
      <c r="H801" s="1" t="s">
        <v>1278</v>
      </c>
      <c r="I801" s="2" t="s">
        <v>23</v>
      </c>
      <c r="J801" s="35">
        <v>3008</v>
      </c>
      <c r="K801" s="35">
        <v>3008</v>
      </c>
      <c r="L801" s="36">
        <v>3008</v>
      </c>
    </row>
    <row r="802" spans="1:12" ht="15.75" thickBot="1" x14ac:dyDescent="0.3">
      <c r="A802" s="78"/>
      <c r="B802" s="81"/>
      <c r="C802" s="81"/>
      <c r="D802" s="1"/>
      <c r="E802" s="28">
        <v>0</v>
      </c>
      <c r="F802" s="28">
        <v>0</v>
      </c>
      <c r="G802" s="28">
        <v>0</v>
      </c>
      <c r="H802" s="1" t="s">
        <v>1279</v>
      </c>
      <c r="I802" s="2" t="s">
        <v>123</v>
      </c>
      <c r="J802" s="2">
        <v>2</v>
      </c>
      <c r="K802" s="2">
        <v>2</v>
      </c>
      <c r="L802" s="29">
        <v>2</v>
      </c>
    </row>
    <row r="803" spans="1:12" ht="39" customHeight="1" x14ac:dyDescent="0.25">
      <c r="A803" s="76" t="s">
        <v>1280</v>
      </c>
      <c r="B803" s="79" t="s">
        <v>1281</v>
      </c>
      <c r="C803" s="79" t="s">
        <v>1282</v>
      </c>
      <c r="D803" s="24" t="s">
        <v>44</v>
      </c>
      <c r="E803" s="25">
        <f>SUM(E804:E804)+15</f>
        <v>15</v>
      </c>
      <c r="F803" s="25">
        <f>SUM(F804:F804)+18</f>
        <v>18</v>
      </c>
      <c r="G803" s="25">
        <f>SUM(G804:G804)+21</f>
        <v>21</v>
      </c>
      <c r="H803" s="24" t="s">
        <v>1283</v>
      </c>
      <c r="I803" s="26" t="s">
        <v>23</v>
      </c>
      <c r="J803" s="26">
        <v>5</v>
      </c>
      <c r="K803" s="26">
        <v>7</v>
      </c>
      <c r="L803" s="27">
        <v>9</v>
      </c>
    </row>
    <row r="804" spans="1:12" ht="45.75" thickBot="1" x14ac:dyDescent="0.3">
      <c r="A804" s="78"/>
      <c r="B804" s="81"/>
      <c r="C804" s="81"/>
      <c r="D804" s="1"/>
      <c r="E804" s="28">
        <v>0</v>
      </c>
      <c r="F804" s="28">
        <v>0</v>
      </c>
      <c r="G804" s="28">
        <v>0</v>
      </c>
      <c r="H804" s="1" t="s">
        <v>1284</v>
      </c>
      <c r="I804" s="2" t="s">
        <v>23</v>
      </c>
      <c r="J804" s="2">
        <v>15</v>
      </c>
      <c r="K804" s="2">
        <v>17</v>
      </c>
      <c r="L804" s="29">
        <v>19</v>
      </c>
    </row>
    <row r="805" spans="1:12" ht="28.5" customHeight="1" x14ac:dyDescent="0.25">
      <c r="A805" s="68" t="s">
        <v>1285</v>
      </c>
      <c r="B805" s="70" t="s">
        <v>1286</v>
      </c>
      <c r="C805" s="71"/>
      <c r="D805" s="72"/>
      <c r="E805" s="15">
        <f>E806+E807+E810+E813+E817+E820+E825+E826</f>
        <v>4828</v>
      </c>
      <c r="F805" s="15">
        <f>F806+F807+F810+F813+F817+F820+F825+F826</f>
        <v>3068.8999999999996</v>
      </c>
      <c r="G805" s="15">
        <f>G806+G807+G810+G813+G817+G820+G825+G826</f>
        <v>2415</v>
      </c>
      <c r="H805" s="16" t="s">
        <v>1287</v>
      </c>
      <c r="I805" s="17" t="s">
        <v>23</v>
      </c>
      <c r="J805" s="17">
        <v>4</v>
      </c>
      <c r="K805" s="17">
        <v>4</v>
      </c>
      <c r="L805" s="34">
        <v>6</v>
      </c>
    </row>
    <row r="806" spans="1:12" ht="15.75" thickBot="1" x14ac:dyDescent="0.3">
      <c r="A806" s="69"/>
      <c r="B806" s="73"/>
      <c r="C806" s="74"/>
      <c r="D806" s="75"/>
      <c r="E806" s="20">
        <v>0</v>
      </c>
      <c r="F806" s="20">
        <v>0</v>
      </c>
      <c r="G806" s="20">
        <v>0</v>
      </c>
      <c r="H806" s="21" t="s">
        <v>1288</v>
      </c>
      <c r="I806" s="22" t="s">
        <v>23</v>
      </c>
      <c r="J806" s="22">
        <v>9</v>
      </c>
      <c r="K806" s="22">
        <v>9</v>
      </c>
      <c r="L806" s="23">
        <v>9</v>
      </c>
    </row>
    <row r="807" spans="1:12" ht="39" customHeight="1" x14ac:dyDescent="0.25">
      <c r="A807" s="76" t="s">
        <v>1289</v>
      </c>
      <c r="B807" s="79" t="s">
        <v>1290</v>
      </c>
      <c r="C807" s="79" t="s">
        <v>1291</v>
      </c>
      <c r="D807" s="24"/>
      <c r="E807" s="25">
        <f>SUM(E808:E809)</f>
        <v>753.7</v>
      </c>
      <c r="F807" s="25">
        <f>SUM(F808:F809)</f>
        <v>380</v>
      </c>
      <c r="G807" s="25">
        <f>SUM(G808:G809)</f>
        <v>370</v>
      </c>
      <c r="H807" s="24" t="s">
        <v>1292</v>
      </c>
      <c r="I807" s="26" t="s">
        <v>28</v>
      </c>
      <c r="J807" s="26">
        <v>100</v>
      </c>
      <c r="K807" s="26"/>
      <c r="L807" s="27"/>
    </row>
    <row r="808" spans="1:12" ht="30" x14ac:dyDescent="0.25">
      <c r="A808" s="77"/>
      <c r="B808" s="80"/>
      <c r="C808" s="80"/>
      <c r="D808" s="1" t="s">
        <v>44</v>
      </c>
      <c r="E808" s="28">
        <v>380</v>
      </c>
      <c r="F808" s="28">
        <v>380</v>
      </c>
      <c r="G808" s="28">
        <v>370</v>
      </c>
      <c r="H808" s="1" t="s">
        <v>1293</v>
      </c>
      <c r="I808" s="2" t="s">
        <v>28</v>
      </c>
      <c r="J808" s="2"/>
      <c r="K808" s="2">
        <v>100</v>
      </c>
      <c r="L808" s="29"/>
    </row>
    <row r="809" spans="1:12" ht="15.75" thickBot="1" x14ac:dyDescent="0.3">
      <c r="A809" s="78"/>
      <c r="B809" s="81"/>
      <c r="C809" s="81"/>
      <c r="D809" s="1" t="s">
        <v>29</v>
      </c>
      <c r="E809" s="28">
        <v>373.7</v>
      </c>
      <c r="F809" s="28">
        <v>0</v>
      </c>
      <c r="G809" s="28">
        <v>0</v>
      </c>
      <c r="H809" s="1" t="s">
        <v>1294</v>
      </c>
      <c r="I809" s="2" t="s">
        <v>28</v>
      </c>
      <c r="J809" s="2"/>
      <c r="K809" s="2"/>
      <c r="L809" s="29">
        <v>100</v>
      </c>
    </row>
    <row r="810" spans="1:12" ht="45" x14ac:dyDescent="0.25">
      <c r="A810" s="76" t="s">
        <v>1295</v>
      </c>
      <c r="B810" s="79" t="s">
        <v>1296</v>
      </c>
      <c r="C810" s="79" t="s">
        <v>1267</v>
      </c>
      <c r="D810" s="24" t="s">
        <v>44</v>
      </c>
      <c r="E810" s="25">
        <f>SUM(E811:E812)+300</f>
        <v>300</v>
      </c>
      <c r="F810" s="25">
        <f>SUM(F811:F812)+445</f>
        <v>445</v>
      </c>
      <c r="G810" s="25">
        <f>SUM(G811:G812)+500</f>
        <v>500</v>
      </c>
      <c r="H810" s="24" t="s">
        <v>1297</v>
      </c>
      <c r="I810" s="26" t="s">
        <v>28</v>
      </c>
      <c r="J810" s="26">
        <v>100</v>
      </c>
      <c r="K810" s="26"/>
      <c r="L810" s="27"/>
    </row>
    <row r="811" spans="1:12" ht="30" x14ac:dyDescent="0.25">
      <c r="A811" s="77"/>
      <c r="B811" s="80"/>
      <c r="C811" s="80"/>
      <c r="D811" s="1"/>
      <c r="E811" s="28">
        <v>0</v>
      </c>
      <c r="F811" s="28">
        <v>0</v>
      </c>
      <c r="G811" s="28">
        <v>0</v>
      </c>
      <c r="H811" s="1" t="s">
        <v>1298</v>
      </c>
      <c r="I811" s="2" t="s">
        <v>123</v>
      </c>
      <c r="J811" s="2"/>
      <c r="K811" s="2">
        <v>1</v>
      </c>
      <c r="L811" s="29"/>
    </row>
    <row r="812" spans="1:12" ht="30.75" thickBot="1" x14ac:dyDescent="0.3">
      <c r="A812" s="78"/>
      <c r="B812" s="81"/>
      <c r="C812" s="81"/>
      <c r="D812" s="1"/>
      <c r="E812" s="28">
        <v>0</v>
      </c>
      <c r="F812" s="28">
        <v>0</v>
      </c>
      <c r="G812" s="28">
        <v>0</v>
      </c>
      <c r="H812" s="1" t="s">
        <v>1299</v>
      </c>
      <c r="I812" s="2" t="s">
        <v>28</v>
      </c>
      <c r="J812" s="2"/>
      <c r="K812" s="2">
        <v>40</v>
      </c>
      <c r="L812" s="29">
        <v>100</v>
      </c>
    </row>
    <row r="813" spans="1:12" x14ac:dyDescent="0.25">
      <c r="A813" s="76" t="s">
        <v>1300</v>
      </c>
      <c r="B813" s="79" t="s">
        <v>1301</v>
      </c>
      <c r="C813" s="79" t="s">
        <v>1302</v>
      </c>
      <c r="D813" s="24"/>
      <c r="E813" s="25">
        <f>SUM(E814:E816)</f>
        <v>602.70000000000005</v>
      </c>
      <c r="F813" s="25">
        <f>SUM(F814:F816)</f>
        <v>43</v>
      </c>
      <c r="G813" s="25">
        <f>SUM(G814:G816)</f>
        <v>0</v>
      </c>
      <c r="H813" s="24" t="s">
        <v>1303</v>
      </c>
      <c r="I813" s="26" t="s">
        <v>28</v>
      </c>
      <c r="J813" s="26">
        <v>100</v>
      </c>
      <c r="K813" s="26"/>
      <c r="L813" s="27"/>
    </row>
    <row r="814" spans="1:12" ht="30" x14ac:dyDescent="0.25">
      <c r="A814" s="77"/>
      <c r="B814" s="80"/>
      <c r="C814" s="80"/>
      <c r="D814" s="1" t="s">
        <v>44</v>
      </c>
      <c r="E814" s="28">
        <v>8</v>
      </c>
      <c r="F814" s="28">
        <v>43</v>
      </c>
      <c r="G814" s="28">
        <v>0</v>
      </c>
      <c r="H814" s="1" t="s">
        <v>1304</v>
      </c>
      <c r="I814" s="2" t="s">
        <v>388</v>
      </c>
      <c r="J814" s="35">
        <v>1900</v>
      </c>
      <c r="K814" s="2"/>
      <c r="L814" s="29"/>
    </row>
    <row r="815" spans="1:12" x14ac:dyDescent="0.25">
      <c r="A815" s="77"/>
      <c r="B815" s="80"/>
      <c r="C815" s="80"/>
      <c r="D815" s="1" t="s">
        <v>29</v>
      </c>
      <c r="E815" s="28">
        <v>594.70000000000005</v>
      </c>
      <c r="F815" s="28">
        <v>0</v>
      </c>
      <c r="G815" s="28">
        <v>0</v>
      </c>
      <c r="H815" s="1" t="s">
        <v>1305</v>
      </c>
      <c r="I815" s="2" t="s">
        <v>372</v>
      </c>
      <c r="J815" s="2">
        <v>80</v>
      </c>
      <c r="K815" s="2"/>
      <c r="L815" s="29"/>
    </row>
    <row r="816" spans="1:12" ht="15.75" thickBot="1" x14ac:dyDescent="0.3">
      <c r="A816" s="78"/>
      <c r="B816" s="81"/>
      <c r="C816" s="81"/>
      <c r="D816" s="1"/>
      <c r="E816" s="28">
        <v>0</v>
      </c>
      <c r="F816" s="28">
        <v>0</v>
      </c>
      <c r="G816" s="28">
        <v>0</v>
      </c>
      <c r="H816" s="1" t="s">
        <v>975</v>
      </c>
      <c r="I816" s="2" t="s">
        <v>123</v>
      </c>
      <c r="J816" s="2">
        <v>1</v>
      </c>
      <c r="K816" s="2"/>
      <c r="L816" s="29"/>
    </row>
    <row r="817" spans="1:12" ht="22.5" customHeight="1" x14ac:dyDescent="0.25">
      <c r="A817" s="76" t="s">
        <v>1306</v>
      </c>
      <c r="B817" s="79" t="s">
        <v>1307</v>
      </c>
      <c r="C817" s="79" t="s">
        <v>1308</v>
      </c>
      <c r="D817" s="24"/>
      <c r="E817" s="25">
        <f>SUM(E818:E819)</f>
        <v>1618.7</v>
      </c>
      <c r="F817" s="25">
        <f>SUM(F818:F819)</f>
        <v>1618.7</v>
      </c>
      <c r="G817" s="25">
        <f>SUM(G818:G819)</f>
        <v>962.69999999999993</v>
      </c>
      <c r="H817" s="24" t="s">
        <v>1309</v>
      </c>
      <c r="I817" s="26" t="s">
        <v>28</v>
      </c>
      <c r="J817" s="26">
        <v>38.5</v>
      </c>
      <c r="K817" s="26">
        <v>38.5</v>
      </c>
      <c r="L817" s="27">
        <v>100</v>
      </c>
    </row>
    <row r="818" spans="1:12" x14ac:dyDescent="0.25">
      <c r="A818" s="77"/>
      <c r="B818" s="80"/>
      <c r="C818" s="80"/>
      <c r="D818" s="1" t="s">
        <v>33</v>
      </c>
      <c r="E818" s="28">
        <v>1375.9</v>
      </c>
      <c r="F818" s="28">
        <v>1375.9</v>
      </c>
      <c r="G818" s="28">
        <v>818.3</v>
      </c>
      <c r="H818" s="1" t="s">
        <v>625</v>
      </c>
      <c r="I818" s="2" t="s">
        <v>28</v>
      </c>
      <c r="J818" s="2">
        <v>38.5</v>
      </c>
      <c r="K818" s="2">
        <v>38.5</v>
      </c>
      <c r="L818" s="29">
        <v>100</v>
      </c>
    </row>
    <row r="819" spans="1:12" ht="15.75" thickBot="1" x14ac:dyDescent="0.3">
      <c r="A819" s="78"/>
      <c r="B819" s="81"/>
      <c r="C819" s="81"/>
      <c r="D819" s="1" t="s">
        <v>31</v>
      </c>
      <c r="E819" s="28">
        <v>242.8</v>
      </c>
      <c r="F819" s="28">
        <v>242.8</v>
      </c>
      <c r="G819" s="28">
        <v>144.4</v>
      </c>
      <c r="H819" s="1" t="s">
        <v>1310</v>
      </c>
      <c r="I819" s="2" t="s">
        <v>23</v>
      </c>
      <c r="J819" s="2">
        <v>2</v>
      </c>
      <c r="K819" s="2">
        <v>2</v>
      </c>
      <c r="L819" s="29">
        <v>2</v>
      </c>
    </row>
    <row r="820" spans="1:12" ht="30" x14ac:dyDescent="0.25">
      <c r="A820" s="76" t="s">
        <v>1311</v>
      </c>
      <c r="B820" s="79" t="s">
        <v>1312</v>
      </c>
      <c r="C820" s="79" t="s">
        <v>1308</v>
      </c>
      <c r="D820" s="24"/>
      <c r="E820" s="25">
        <f>SUM(E821:E824)</f>
        <v>970.7</v>
      </c>
      <c r="F820" s="25">
        <f>SUM(F821:F824)</f>
        <v>0</v>
      </c>
      <c r="G820" s="25">
        <f>SUM(G821:G824)</f>
        <v>0</v>
      </c>
      <c r="H820" s="24" t="s">
        <v>1313</v>
      </c>
      <c r="I820" s="26" t="s">
        <v>23</v>
      </c>
      <c r="J820" s="26">
        <v>1</v>
      </c>
      <c r="K820" s="26"/>
      <c r="L820" s="27"/>
    </row>
    <row r="821" spans="1:12" x14ac:dyDescent="0.25">
      <c r="A821" s="77"/>
      <c r="B821" s="80"/>
      <c r="C821" s="80"/>
      <c r="D821" s="1" t="s">
        <v>33</v>
      </c>
      <c r="E821" s="28">
        <v>592.5</v>
      </c>
      <c r="F821" s="28">
        <v>0</v>
      </c>
      <c r="G821" s="28">
        <v>0</v>
      </c>
      <c r="H821" s="1" t="s">
        <v>1314</v>
      </c>
      <c r="I821" s="2" t="s">
        <v>23</v>
      </c>
      <c r="J821" s="2">
        <v>3</v>
      </c>
      <c r="K821" s="2"/>
      <c r="L821" s="29"/>
    </row>
    <row r="822" spans="1:12" x14ac:dyDescent="0.25">
      <c r="A822" s="77"/>
      <c r="B822" s="80"/>
      <c r="C822" s="80"/>
      <c r="D822" s="1" t="s">
        <v>44</v>
      </c>
      <c r="E822" s="28">
        <v>238.1</v>
      </c>
      <c r="F822" s="28">
        <v>0</v>
      </c>
      <c r="G822" s="28">
        <v>0</v>
      </c>
      <c r="H822" s="1" t="s">
        <v>1315</v>
      </c>
      <c r="I822" s="2" t="s">
        <v>361</v>
      </c>
      <c r="J822" s="2">
        <v>1</v>
      </c>
      <c r="K822" s="2"/>
      <c r="L822" s="29"/>
    </row>
    <row r="823" spans="1:12" ht="25.5" customHeight="1" x14ac:dyDescent="0.25">
      <c r="A823" s="77"/>
      <c r="B823" s="80"/>
      <c r="C823" s="80"/>
      <c r="D823" s="1" t="s">
        <v>31</v>
      </c>
      <c r="E823" s="28">
        <v>124.6</v>
      </c>
      <c r="F823" s="28">
        <v>0</v>
      </c>
      <c r="G823" s="28">
        <v>0</v>
      </c>
      <c r="H823" s="106" t="s">
        <v>1316</v>
      </c>
      <c r="I823" s="107" t="s">
        <v>104</v>
      </c>
      <c r="J823" s="107">
        <v>8</v>
      </c>
      <c r="K823" s="107"/>
      <c r="L823" s="108"/>
    </row>
    <row r="824" spans="1:12" ht="15.75" thickBot="1" x14ac:dyDescent="0.3">
      <c r="A824" s="78"/>
      <c r="B824" s="81"/>
      <c r="C824" s="81"/>
      <c r="D824" s="1" t="s">
        <v>29</v>
      </c>
      <c r="E824" s="28">
        <v>15.5</v>
      </c>
      <c r="F824" s="28"/>
      <c r="G824" s="28"/>
      <c r="H824" s="81"/>
      <c r="I824" s="101"/>
      <c r="J824" s="101"/>
      <c r="K824" s="101"/>
      <c r="L824" s="109"/>
    </row>
    <row r="825" spans="1:12" ht="45.75" thickBot="1" x14ac:dyDescent="0.3">
      <c r="A825" s="30" t="s">
        <v>1317</v>
      </c>
      <c r="B825" s="31" t="s">
        <v>1318</v>
      </c>
      <c r="C825" s="24" t="s">
        <v>1308</v>
      </c>
      <c r="D825" s="24" t="s">
        <v>33</v>
      </c>
      <c r="E825" s="32">
        <v>102.2</v>
      </c>
      <c r="F825" s="32">
        <v>102.2</v>
      </c>
      <c r="G825" s="32">
        <v>102.2</v>
      </c>
      <c r="H825" s="24" t="s">
        <v>1319</v>
      </c>
      <c r="I825" s="26" t="s">
        <v>104</v>
      </c>
      <c r="J825" s="26">
        <v>8</v>
      </c>
      <c r="K825" s="26">
        <v>8</v>
      </c>
      <c r="L825" s="27">
        <v>4</v>
      </c>
    </row>
    <row r="826" spans="1:12" ht="45" x14ac:dyDescent="0.25">
      <c r="A826" s="76" t="s">
        <v>1320</v>
      </c>
      <c r="B826" s="79" t="s">
        <v>1321</v>
      </c>
      <c r="C826" s="79" t="s">
        <v>1308</v>
      </c>
      <c r="D826" s="24" t="s">
        <v>33</v>
      </c>
      <c r="E826" s="25">
        <f>SUM(E827:E829)+480</f>
        <v>480</v>
      </c>
      <c r="F826" s="25">
        <f>SUM(F827:F829)+480</f>
        <v>480</v>
      </c>
      <c r="G826" s="25">
        <f>SUM(G827:G829)+480.1</f>
        <v>480.1</v>
      </c>
      <c r="H826" s="24" t="s">
        <v>1322</v>
      </c>
      <c r="I826" s="26" t="s">
        <v>28</v>
      </c>
      <c r="J826" s="26">
        <v>40</v>
      </c>
      <c r="K826" s="26">
        <v>80</v>
      </c>
      <c r="L826" s="27">
        <v>100</v>
      </c>
    </row>
    <row r="827" spans="1:12" ht="30" x14ac:dyDescent="0.25">
      <c r="A827" s="77"/>
      <c r="B827" s="80"/>
      <c r="C827" s="80"/>
      <c r="D827" s="1"/>
      <c r="E827" s="28">
        <v>0</v>
      </c>
      <c r="F827" s="28">
        <v>0</v>
      </c>
      <c r="G827" s="28">
        <v>0</v>
      </c>
      <c r="H827" s="1" t="s">
        <v>1323</v>
      </c>
      <c r="I827" s="2" t="s">
        <v>104</v>
      </c>
      <c r="J827" s="2">
        <v>20</v>
      </c>
      <c r="K827" s="2">
        <v>30</v>
      </c>
      <c r="L827" s="29">
        <v>10</v>
      </c>
    </row>
    <row r="828" spans="1:12" ht="30" x14ac:dyDescent="0.25">
      <c r="A828" s="77"/>
      <c r="B828" s="80"/>
      <c r="C828" s="80"/>
      <c r="D828" s="1"/>
      <c r="E828" s="28">
        <v>0</v>
      </c>
      <c r="F828" s="28">
        <v>0</v>
      </c>
      <c r="G828" s="28">
        <v>0</v>
      </c>
      <c r="H828" s="1" t="s">
        <v>1324</v>
      </c>
      <c r="I828" s="2" t="s">
        <v>104</v>
      </c>
      <c r="J828" s="2">
        <v>50</v>
      </c>
      <c r="K828" s="2">
        <v>50</v>
      </c>
      <c r="L828" s="29">
        <v>30</v>
      </c>
    </row>
    <row r="829" spans="1:12" ht="45.75" thickBot="1" x14ac:dyDescent="0.3">
      <c r="A829" s="78"/>
      <c r="B829" s="81"/>
      <c r="C829" s="81"/>
      <c r="D829" s="46"/>
      <c r="E829" s="47">
        <v>0</v>
      </c>
      <c r="F829" s="47">
        <v>0</v>
      </c>
      <c r="G829" s="47">
        <v>0</v>
      </c>
      <c r="H829" s="46" t="s">
        <v>1325</v>
      </c>
      <c r="I829" s="48" t="s">
        <v>23</v>
      </c>
      <c r="J829" s="48"/>
      <c r="K829" s="48">
        <v>1</v>
      </c>
      <c r="L829" s="49"/>
    </row>
    <row r="830" spans="1:12" s="8" customFormat="1" x14ac:dyDescent="0.25">
      <c r="A830" s="50"/>
      <c r="B830" s="50"/>
      <c r="C830" s="51"/>
      <c r="D830" s="51"/>
      <c r="E830" s="52"/>
      <c r="F830" s="52"/>
      <c r="G830" s="52"/>
      <c r="H830" s="51"/>
      <c r="I830" s="53"/>
      <c r="J830" s="53"/>
      <c r="K830" s="53"/>
      <c r="L830" s="53"/>
    </row>
    <row r="831" spans="1:12" s="8" customFormat="1" x14ac:dyDescent="0.25">
      <c r="A831" s="50"/>
      <c r="B831" s="50"/>
      <c r="C831" s="51"/>
      <c r="D831" s="51"/>
      <c r="E831" s="52"/>
      <c r="F831" s="52"/>
      <c r="G831" s="52"/>
      <c r="H831" s="51"/>
      <c r="I831" s="53"/>
      <c r="J831" s="53"/>
      <c r="K831" s="53"/>
      <c r="L831" s="53"/>
    </row>
    <row r="832" spans="1:12" s="8" customFormat="1" x14ac:dyDescent="0.25">
      <c r="A832" s="50"/>
      <c r="B832" s="50"/>
      <c r="C832" s="51"/>
      <c r="D832" s="51"/>
      <c r="E832" s="52"/>
      <c r="F832" s="52"/>
      <c r="G832" s="52"/>
      <c r="H832" s="51"/>
      <c r="I832" s="53"/>
      <c r="J832" s="53"/>
      <c r="K832" s="53"/>
      <c r="L832" s="53"/>
    </row>
    <row r="833" spans="1:12" s="8" customFormat="1" x14ac:dyDescent="0.25">
      <c r="A833" s="50"/>
      <c r="B833" s="50"/>
      <c r="C833" s="51"/>
      <c r="D833" s="51"/>
      <c r="E833" s="52"/>
      <c r="F833" s="52"/>
      <c r="G833" s="52"/>
      <c r="H833" s="51"/>
      <c r="I833" s="53"/>
      <c r="J833" s="53"/>
      <c r="K833" s="53"/>
      <c r="L833" s="53"/>
    </row>
    <row r="834" spans="1:12" s="8" customFormat="1" x14ac:dyDescent="0.25">
      <c r="A834" s="50"/>
      <c r="B834" s="50"/>
      <c r="C834" s="51"/>
      <c r="D834" s="51"/>
      <c r="E834" s="52"/>
      <c r="F834" s="52"/>
      <c r="G834" s="52"/>
      <c r="H834" s="51"/>
      <c r="I834" s="53"/>
      <c r="J834" s="53"/>
      <c r="K834" s="53"/>
      <c r="L834" s="53"/>
    </row>
    <row r="835" spans="1:12" s="7" customFormat="1" ht="42.75" x14ac:dyDescent="0.25">
      <c r="A835" s="9" t="s">
        <v>1</v>
      </c>
      <c r="B835" s="9" t="s">
        <v>2</v>
      </c>
      <c r="C835" s="9" t="s">
        <v>5</v>
      </c>
      <c r="D835" s="9" t="s">
        <v>6</v>
      </c>
      <c r="E835" s="9" t="s">
        <v>7</v>
      </c>
      <c r="F835" s="57"/>
      <c r="G835" s="57"/>
      <c r="H835" s="57"/>
      <c r="I835" s="57"/>
      <c r="J835" s="58"/>
      <c r="K835" s="58"/>
      <c r="L835" s="58"/>
    </row>
    <row r="836" spans="1:12" ht="30" x14ac:dyDescent="0.25">
      <c r="A836" s="54" t="s">
        <v>1326</v>
      </c>
      <c r="B836" s="54" t="s">
        <v>1327</v>
      </c>
      <c r="C836" s="59">
        <f>SUM(C837:C847)</f>
        <v>323671.5</v>
      </c>
      <c r="D836" s="59">
        <f>SUM(D837:D847)</f>
        <v>317942.60000000003</v>
      </c>
      <c r="E836" s="59">
        <f>SUM(E837:E847)+0.1</f>
        <v>309862.89999999985</v>
      </c>
    </row>
    <row r="837" spans="1:12" x14ac:dyDescent="0.25">
      <c r="A837" s="54" t="s">
        <v>44</v>
      </c>
      <c r="B837" s="54" t="s">
        <v>1328</v>
      </c>
      <c r="C837" s="60">
        <v>137857.9</v>
      </c>
      <c r="D837" s="60">
        <v>146123.79999999999</v>
      </c>
      <c r="E837" s="60">
        <v>154411.79999999999</v>
      </c>
    </row>
    <row r="838" spans="1:12" x14ac:dyDescent="0.25">
      <c r="A838" s="54" t="s">
        <v>539</v>
      </c>
      <c r="B838" s="54" t="s">
        <v>1329</v>
      </c>
      <c r="C838" s="60">
        <v>12500</v>
      </c>
      <c r="D838" s="60">
        <v>11400</v>
      </c>
      <c r="E838" s="60">
        <v>11700</v>
      </c>
    </row>
    <row r="839" spans="1:12" x14ac:dyDescent="0.25">
      <c r="A839" s="54" t="s">
        <v>1175</v>
      </c>
      <c r="B839" s="54" t="s">
        <v>1330</v>
      </c>
      <c r="C839" s="60">
        <v>70673.5</v>
      </c>
      <c r="D839" s="60">
        <v>71910.899999999994</v>
      </c>
      <c r="E839" s="60">
        <v>71910.899999999994</v>
      </c>
    </row>
    <row r="840" spans="1:12" ht="30" x14ac:dyDescent="0.25">
      <c r="A840" s="54" t="s">
        <v>162</v>
      </c>
      <c r="B840" s="54" t="s">
        <v>1331</v>
      </c>
      <c r="C840" s="60">
        <v>10459.299999999999</v>
      </c>
      <c r="D840" s="60">
        <v>10482.200000000001</v>
      </c>
      <c r="E840" s="60">
        <v>10505.8</v>
      </c>
    </row>
    <row r="841" spans="1:12" x14ac:dyDescent="0.25">
      <c r="A841" s="54" t="s">
        <v>31</v>
      </c>
      <c r="B841" s="54" t="s">
        <v>1332</v>
      </c>
      <c r="C841" s="60">
        <v>13903.8</v>
      </c>
      <c r="D841" s="60">
        <v>14037.5</v>
      </c>
      <c r="E841" s="60">
        <v>12040.8</v>
      </c>
    </row>
    <row r="842" spans="1:12" ht="30" x14ac:dyDescent="0.25">
      <c r="A842" s="54" t="s">
        <v>532</v>
      </c>
      <c r="B842" s="54" t="s">
        <v>1333</v>
      </c>
      <c r="C842" s="60">
        <v>8663</v>
      </c>
      <c r="D842" s="60">
        <v>8673</v>
      </c>
      <c r="E842" s="60">
        <v>8664</v>
      </c>
    </row>
    <row r="843" spans="1:12" x14ac:dyDescent="0.25">
      <c r="A843" s="54" t="s">
        <v>33</v>
      </c>
      <c r="B843" s="54" t="s">
        <v>1334</v>
      </c>
      <c r="C843" s="60">
        <v>26230</v>
      </c>
      <c r="D843" s="60">
        <v>29389.3</v>
      </c>
      <c r="E843" s="60">
        <v>16379.5</v>
      </c>
    </row>
    <row r="844" spans="1:12" x14ac:dyDescent="0.25">
      <c r="A844" s="54" t="s">
        <v>116</v>
      </c>
      <c r="B844" s="54" t="s">
        <v>1335</v>
      </c>
      <c r="C844" s="60">
        <v>6880</v>
      </c>
      <c r="D844" s="60">
        <v>6893.5</v>
      </c>
      <c r="E844" s="60">
        <v>6901.8</v>
      </c>
    </row>
    <row r="845" spans="1:12" ht="30" x14ac:dyDescent="0.25">
      <c r="A845" s="54" t="s">
        <v>29</v>
      </c>
      <c r="B845" s="54" t="s">
        <v>1336</v>
      </c>
      <c r="C845" s="60">
        <v>35453.1</v>
      </c>
      <c r="D845" s="60">
        <v>18432.400000000001</v>
      </c>
      <c r="E845" s="60">
        <v>16748.099999999999</v>
      </c>
    </row>
    <row r="846" spans="1:12" ht="30" x14ac:dyDescent="0.25">
      <c r="A846" s="54" t="s">
        <v>380</v>
      </c>
      <c r="B846" s="54" t="s">
        <v>1337</v>
      </c>
      <c r="C846" s="60">
        <v>600</v>
      </c>
      <c r="D846" s="60">
        <v>600</v>
      </c>
      <c r="E846" s="60">
        <v>600.1</v>
      </c>
    </row>
    <row r="847" spans="1:12" ht="45" x14ac:dyDescent="0.25">
      <c r="A847" s="54" t="s">
        <v>403</v>
      </c>
      <c r="B847" s="54" t="s">
        <v>1338</v>
      </c>
      <c r="C847" s="60">
        <v>450.9</v>
      </c>
      <c r="D847" s="60">
        <v>0</v>
      </c>
      <c r="E847" s="60">
        <v>0</v>
      </c>
    </row>
    <row r="848" spans="1:12" x14ac:dyDescent="0.25">
      <c r="A848" s="54" t="s">
        <v>1339</v>
      </c>
      <c r="B848" s="54" t="s">
        <v>1340</v>
      </c>
      <c r="C848" s="59">
        <f>SUM(C849:C851)</f>
        <v>53612.700000000004</v>
      </c>
      <c r="D848" s="59">
        <f>SUM(D849:D851)</f>
        <v>52682.9</v>
      </c>
      <c r="E848" s="59">
        <f>SUM(E849:E851)</f>
        <v>52365.500000000007</v>
      </c>
    </row>
    <row r="849" spans="1:5" x14ac:dyDescent="0.25">
      <c r="A849" s="54" t="s">
        <v>291</v>
      </c>
      <c r="B849" s="54" t="s">
        <v>1341</v>
      </c>
      <c r="C849" s="60">
        <v>49390.8</v>
      </c>
      <c r="D849" s="60">
        <v>49332.4</v>
      </c>
      <c r="E849" s="60">
        <v>49332.4</v>
      </c>
    </row>
    <row r="850" spans="1:5" x14ac:dyDescent="0.25">
      <c r="A850" s="54" t="s">
        <v>294</v>
      </c>
      <c r="B850" s="54" t="s">
        <v>1342</v>
      </c>
      <c r="C850" s="60">
        <v>2663.9</v>
      </c>
      <c r="D850" s="60">
        <v>2000.6</v>
      </c>
      <c r="E850" s="60">
        <v>1723.3</v>
      </c>
    </row>
    <row r="851" spans="1:5" x14ac:dyDescent="0.25">
      <c r="A851" s="54" t="s">
        <v>144</v>
      </c>
      <c r="B851" s="54" t="s">
        <v>1343</v>
      </c>
      <c r="C851" s="60">
        <v>1558</v>
      </c>
      <c r="D851" s="60">
        <v>1349.9</v>
      </c>
      <c r="E851" s="60">
        <v>1309.8</v>
      </c>
    </row>
    <row r="852" spans="1:5" ht="28.5" x14ac:dyDescent="0.25">
      <c r="A852" s="55"/>
      <c r="B852" s="56" t="s">
        <v>1344</v>
      </c>
      <c r="C852" s="61">
        <f>C836+C848</f>
        <v>377284.2</v>
      </c>
      <c r="D852" s="61">
        <f>D836+D848</f>
        <v>370625.50000000006</v>
      </c>
      <c r="E852" s="61">
        <f>E836+E848</f>
        <v>362228.39999999985</v>
      </c>
    </row>
  </sheetData>
  <mergeCells count="827">
    <mergeCell ref="H757:H762"/>
    <mergeCell ref="I757:I762"/>
    <mergeCell ref="J757:J762"/>
    <mergeCell ref="K757:K762"/>
    <mergeCell ref="L757:L762"/>
    <mergeCell ref="H747:H749"/>
    <mergeCell ref="I747:I749"/>
    <mergeCell ref="J747:J749"/>
    <mergeCell ref="K747:K749"/>
    <mergeCell ref="L747:L749"/>
    <mergeCell ref="H823:H824"/>
    <mergeCell ref="I823:I824"/>
    <mergeCell ref="J823:J824"/>
    <mergeCell ref="K823:K824"/>
    <mergeCell ref="L823:L824"/>
    <mergeCell ref="H769:H770"/>
    <mergeCell ref="I769:I770"/>
    <mergeCell ref="J769:J770"/>
    <mergeCell ref="K769:K770"/>
    <mergeCell ref="L769:L770"/>
    <mergeCell ref="K740:K741"/>
    <mergeCell ref="L740:L741"/>
    <mergeCell ref="H734:H735"/>
    <mergeCell ref="I734:I735"/>
    <mergeCell ref="J734:J735"/>
    <mergeCell ref="K734:K735"/>
    <mergeCell ref="L734:L735"/>
    <mergeCell ref="H708:H710"/>
    <mergeCell ref="I708:I710"/>
    <mergeCell ref="J708:J710"/>
    <mergeCell ref="K708:K710"/>
    <mergeCell ref="L708:L710"/>
    <mergeCell ref="H740:H741"/>
    <mergeCell ref="I740:I741"/>
    <mergeCell ref="J740:J741"/>
    <mergeCell ref="H705:H707"/>
    <mergeCell ref="I705:I707"/>
    <mergeCell ref="J705:J707"/>
    <mergeCell ref="K705:K707"/>
    <mergeCell ref="L705:L707"/>
    <mergeCell ref="H702:H704"/>
    <mergeCell ref="I702:I704"/>
    <mergeCell ref="J702:J704"/>
    <mergeCell ref="K702:K704"/>
    <mergeCell ref="L702:L704"/>
    <mergeCell ref="H698:H699"/>
    <mergeCell ref="I698:I699"/>
    <mergeCell ref="J698:J699"/>
    <mergeCell ref="K698:K699"/>
    <mergeCell ref="L698:L699"/>
    <mergeCell ref="H694:H695"/>
    <mergeCell ref="I694:I695"/>
    <mergeCell ref="J694:J695"/>
    <mergeCell ref="K694:K695"/>
    <mergeCell ref="L694:L695"/>
    <mergeCell ref="H684:H685"/>
    <mergeCell ref="I684:I685"/>
    <mergeCell ref="J684:J685"/>
    <mergeCell ref="K684:K685"/>
    <mergeCell ref="L684:L685"/>
    <mergeCell ref="H673:H677"/>
    <mergeCell ref="I673:I677"/>
    <mergeCell ref="J673:J677"/>
    <mergeCell ref="K673:K677"/>
    <mergeCell ref="L673:L677"/>
    <mergeCell ref="H669:H671"/>
    <mergeCell ref="I669:I671"/>
    <mergeCell ref="J669:J671"/>
    <mergeCell ref="K669:K671"/>
    <mergeCell ref="L669:L671"/>
    <mergeCell ref="H666:H668"/>
    <mergeCell ref="I666:I668"/>
    <mergeCell ref="J666:J668"/>
    <mergeCell ref="K666:K668"/>
    <mergeCell ref="L666:L668"/>
    <mergeCell ref="H664:H665"/>
    <mergeCell ref="I664:I665"/>
    <mergeCell ref="J664:J665"/>
    <mergeCell ref="K664:K665"/>
    <mergeCell ref="L664:L665"/>
    <mergeCell ref="H634:H637"/>
    <mergeCell ref="I634:I637"/>
    <mergeCell ref="J634:J637"/>
    <mergeCell ref="K634:K637"/>
    <mergeCell ref="L634:L637"/>
    <mergeCell ref="H630:H633"/>
    <mergeCell ref="I630:I633"/>
    <mergeCell ref="J630:J633"/>
    <mergeCell ref="K630:K633"/>
    <mergeCell ref="L630:L633"/>
    <mergeCell ref="H626:H629"/>
    <mergeCell ref="I626:I629"/>
    <mergeCell ref="J626:J629"/>
    <mergeCell ref="K626:K629"/>
    <mergeCell ref="L626:L629"/>
    <mergeCell ref="H583:H586"/>
    <mergeCell ref="I583:I586"/>
    <mergeCell ref="J583:J586"/>
    <mergeCell ref="K583:K586"/>
    <mergeCell ref="L583:L586"/>
    <mergeCell ref="H580:H581"/>
    <mergeCell ref="I580:I581"/>
    <mergeCell ref="J580:J581"/>
    <mergeCell ref="K580:K581"/>
    <mergeCell ref="L580:L581"/>
    <mergeCell ref="H573:H577"/>
    <mergeCell ref="I573:I577"/>
    <mergeCell ref="J573:J577"/>
    <mergeCell ref="K573:K577"/>
    <mergeCell ref="L573:L577"/>
    <mergeCell ref="H542:H543"/>
    <mergeCell ref="I542:I543"/>
    <mergeCell ref="J542:J543"/>
    <mergeCell ref="K542:K543"/>
    <mergeCell ref="L542:L543"/>
    <mergeCell ref="H537:H538"/>
    <mergeCell ref="I537:I538"/>
    <mergeCell ref="J537:J538"/>
    <mergeCell ref="K537:K538"/>
    <mergeCell ref="L537:L538"/>
    <mergeCell ref="H517:H519"/>
    <mergeCell ref="I517:I519"/>
    <mergeCell ref="J517:J519"/>
    <mergeCell ref="K517:K519"/>
    <mergeCell ref="L517:L519"/>
    <mergeCell ref="H509:H512"/>
    <mergeCell ref="I509:I512"/>
    <mergeCell ref="J509:J512"/>
    <mergeCell ref="K509:K512"/>
    <mergeCell ref="L509:L512"/>
    <mergeCell ref="H494:H496"/>
    <mergeCell ref="I494:I496"/>
    <mergeCell ref="J494:J496"/>
    <mergeCell ref="K494:K496"/>
    <mergeCell ref="L494:L496"/>
    <mergeCell ref="H487:H488"/>
    <mergeCell ref="I487:I488"/>
    <mergeCell ref="J487:J488"/>
    <mergeCell ref="K487:K488"/>
    <mergeCell ref="L487:L488"/>
    <mergeCell ref="H467:H469"/>
    <mergeCell ref="I467:I469"/>
    <mergeCell ref="J467:J469"/>
    <mergeCell ref="K467:K469"/>
    <mergeCell ref="L467:L469"/>
    <mergeCell ref="H461:H462"/>
    <mergeCell ref="I461:I462"/>
    <mergeCell ref="J461:J462"/>
    <mergeCell ref="K461:K462"/>
    <mergeCell ref="L461:L462"/>
    <mergeCell ref="H407:H409"/>
    <mergeCell ref="I407:I409"/>
    <mergeCell ref="J407:J409"/>
    <mergeCell ref="K407:K409"/>
    <mergeCell ref="L407:L409"/>
    <mergeCell ref="H441:L441"/>
    <mergeCell ref="H403:H406"/>
    <mergeCell ref="I403:I406"/>
    <mergeCell ref="J403:J406"/>
    <mergeCell ref="K403:K406"/>
    <mergeCell ref="L403:L406"/>
    <mergeCell ref="H353:H355"/>
    <mergeCell ref="I353:I355"/>
    <mergeCell ref="J353:J355"/>
    <mergeCell ref="K353:K355"/>
    <mergeCell ref="L353:L355"/>
    <mergeCell ref="H348:H351"/>
    <mergeCell ref="I348:I351"/>
    <mergeCell ref="J348:J351"/>
    <mergeCell ref="K348:K351"/>
    <mergeCell ref="L348:L351"/>
    <mergeCell ref="H334:H337"/>
    <mergeCell ref="I334:I337"/>
    <mergeCell ref="J334:J337"/>
    <mergeCell ref="K334:K337"/>
    <mergeCell ref="L334:L337"/>
    <mergeCell ref="H317:H319"/>
    <mergeCell ref="I317:I319"/>
    <mergeCell ref="J317:J319"/>
    <mergeCell ref="K317:K319"/>
    <mergeCell ref="L317:L319"/>
    <mergeCell ref="H315:H316"/>
    <mergeCell ref="I315:I316"/>
    <mergeCell ref="J315:J316"/>
    <mergeCell ref="K315:K316"/>
    <mergeCell ref="L315:L316"/>
    <mergeCell ref="H303:H305"/>
    <mergeCell ref="I303:I305"/>
    <mergeCell ref="J303:J305"/>
    <mergeCell ref="K303:K305"/>
    <mergeCell ref="L303:L305"/>
    <mergeCell ref="H295:H298"/>
    <mergeCell ref="I295:I298"/>
    <mergeCell ref="J295:J298"/>
    <mergeCell ref="K295:K298"/>
    <mergeCell ref="L295:L298"/>
    <mergeCell ref="H290:H294"/>
    <mergeCell ref="I290:I294"/>
    <mergeCell ref="J290:J294"/>
    <mergeCell ref="K290:K294"/>
    <mergeCell ref="L290:L294"/>
    <mergeCell ref="H259:H260"/>
    <mergeCell ref="I259:I260"/>
    <mergeCell ref="J259:J260"/>
    <mergeCell ref="K259:K260"/>
    <mergeCell ref="L259:L260"/>
    <mergeCell ref="H234:H235"/>
    <mergeCell ref="I234:I235"/>
    <mergeCell ref="J234:J235"/>
    <mergeCell ref="K234:K235"/>
    <mergeCell ref="L234:L235"/>
    <mergeCell ref="H223:H224"/>
    <mergeCell ref="I223:I224"/>
    <mergeCell ref="J223:J224"/>
    <mergeCell ref="K223:K224"/>
    <mergeCell ref="L223:L224"/>
    <mergeCell ref="H193:H195"/>
    <mergeCell ref="I193:I195"/>
    <mergeCell ref="J193:J195"/>
    <mergeCell ref="K193:K195"/>
    <mergeCell ref="L193:L195"/>
    <mergeCell ref="H220:H221"/>
    <mergeCell ref="I220:I221"/>
    <mergeCell ref="J220:J221"/>
    <mergeCell ref="K220:K221"/>
    <mergeCell ref="L220:L221"/>
    <mergeCell ref="H206:H207"/>
    <mergeCell ref="I206:I207"/>
    <mergeCell ref="J206:J207"/>
    <mergeCell ref="K206:K207"/>
    <mergeCell ref="L206:L207"/>
    <mergeCell ref="H118:H120"/>
    <mergeCell ref="I118:I120"/>
    <mergeCell ref="J118:J120"/>
    <mergeCell ref="K118:K120"/>
    <mergeCell ref="L118:L120"/>
    <mergeCell ref="I172:I174"/>
    <mergeCell ref="J172:J174"/>
    <mergeCell ref="K172:K174"/>
    <mergeCell ref="L172:L174"/>
    <mergeCell ref="H132:L132"/>
    <mergeCell ref="H130:H131"/>
    <mergeCell ref="I130:I131"/>
    <mergeCell ref="J130:J131"/>
    <mergeCell ref="K130:K131"/>
    <mergeCell ref="L130:L131"/>
    <mergeCell ref="K121:K123"/>
    <mergeCell ref="L121:L123"/>
    <mergeCell ref="H110:H111"/>
    <mergeCell ref="I110:I111"/>
    <mergeCell ref="J110:J111"/>
    <mergeCell ref="K110:K111"/>
    <mergeCell ref="L110:L111"/>
    <mergeCell ref="H98:H100"/>
    <mergeCell ref="I98:I100"/>
    <mergeCell ref="J98:J100"/>
    <mergeCell ref="K98:K100"/>
    <mergeCell ref="L98:L100"/>
    <mergeCell ref="H29:H30"/>
    <mergeCell ref="I29:I30"/>
    <mergeCell ref="J29:J30"/>
    <mergeCell ref="K29:K30"/>
    <mergeCell ref="L29:L30"/>
    <mergeCell ref="A820:A824"/>
    <mergeCell ref="B820:B824"/>
    <mergeCell ref="C820:C824"/>
    <mergeCell ref="A826:A829"/>
    <mergeCell ref="B826:B829"/>
    <mergeCell ref="C826:C829"/>
    <mergeCell ref="A813:A816"/>
    <mergeCell ref="B813:B816"/>
    <mergeCell ref="C813:C816"/>
    <mergeCell ref="A817:A819"/>
    <mergeCell ref="B817:B819"/>
    <mergeCell ref="C817:C819"/>
    <mergeCell ref="A807:A809"/>
    <mergeCell ref="B807:B809"/>
    <mergeCell ref="C807:C809"/>
    <mergeCell ref="A810:A812"/>
    <mergeCell ref="B810:B812"/>
    <mergeCell ref="C810:C812"/>
    <mergeCell ref="A803:A804"/>
    <mergeCell ref="B803:B804"/>
    <mergeCell ref="C803:C804"/>
    <mergeCell ref="A805:A806"/>
    <mergeCell ref="B805:D806"/>
    <mergeCell ref="A796:A797"/>
    <mergeCell ref="B796:B797"/>
    <mergeCell ref="C796:C797"/>
    <mergeCell ref="A798:A802"/>
    <mergeCell ref="B798:B802"/>
    <mergeCell ref="C798:C802"/>
    <mergeCell ref="A782:A787"/>
    <mergeCell ref="B782:B787"/>
    <mergeCell ref="C782:C787"/>
    <mergeCell ref="A788:A793"/>
    <mergeCell ref="B788:B793"/>
    <mergeCell ref="C788:C793"/>
    <mergeCell ref="C772:D772"/>
    <mergeCell ref="H772:L772"/>
    <mergeCell ref="A773:A775"/>
    <mergeCell ref="B773:D775"/>
    <mergeCell ref="A776:A781"/>
    <mergeCell ref="B776:B781"/>
    <mergeCell ref="C776:C781"/>
    <mergeCell ref="H776:H781"/>
    <mergeCell ref="I776:I781"/>
    <mergeCell ref="J776:J781"/>
    <mergeCell ref="K776:K781"/>
    <mergeCell ref="L776:L781"/>
    <mergeCell ref="A766:A767"/>
    <mergeCell ref="B766:B767"/>
    <mergeCell ref="C766:C767"/>
    <mergeCell ref="A768:A770"/>
    <mergeCell ref="B768:B770"/>
    <mergeCell ref="C768:C770"/>
    <mergeCell ref="A750:A752"/>
    <mergeCell ref="B750:B752"/>
    <mergeCell ref="C750:C752"/>
    <mergeCell ref="A754:A762"/>
    <mergeCell ref="B754:B762"/>
    <mergeCell ref="C754:C762"/>
    <mergeCell ref="A739:A741"/>
    <mergeCell ref="B739:B741"/>
    <mergeCell ref="C739:C741"/>
    <mergeCell ref="A742:A749"/>
    <mergeCell ref="B742:B749"/>
    <mergeCell ref="C742:C749"/>
    <mergeCell ref="A727:A735"/>
    <mergeCell ref="B727:B735"/>
    <mergeCell ref="C727:C735"/>
    <mergeCell ref="A736:A737"/>
    <mergeCell ref="B736:B737"/>
    <mergeCell ref="C736:C737"/>
    <mergeCell ref="A721:A723"/>
    <mergeCell ref="B721:B723"/>
    <mergeCell ref="C721:C723"/>
    <mergeCell ref="A724:A726"/>
    <mergeCell ref="B724:D726"/>
    <mergeCell ref="A717:A718"/>
    <mergeCell ref="B717:B718"/>
    <mergeCell ref="C717:C718"/>
    <mergeCell ref="A719:A720"/>
    <mergeCell ref="B719:B720"/>
    <mergeCell ref="C719:C720"/>
    <mergeCell ref="A708:A710"/>
    <mergeCell ref="B708:B710"/>
    <mergeCell ref="C708:C710"/>
    <mergeCell ref="A713:A715"/>
    <mergeCell ref="B713:D715"/>
    <mergeCell ref="A700:A704"/>
    <mergeCell ref="B700:B704"/>
    <mergeCell ref="C700:C704"/>
    <mergeCell ref="A705:A707"/>
    <mergeCell ref="B705:B707"/>
    <mergeCell ref="C705:C707"/>
    <mergeCell ref="A692:A695"/>
    <mergeCell ref="B692:B695"/>
    <mergeCell ref="C692:C695"/>
    <mergeCell ref="A696:A699"/>
    <mergeCell ref="B696:B699"/>
    <mergeCell ref="C696:C699"/>
    <mergeCell ref="A682:A685"/>
    <mergeCell ref="B682:B685"/>
    <mergeCell ref="C682:C685"/>
    <mergeCell ref="A686:A691"/>
    <mergeCell ref="B686:B691"/>
    <mergeCell ref="C686:C691"/>
    <mergeCell ref="A672:A677"/>
    <mergeCell ref="B672:B677"/>
    <mergeCell ref="C672:C677"/>
    <mergeCell ref="A678:A681"/>
    <mergeCell ref="B678:B681"/>
    <mergeCell ref="C678:C681"/>
    <mergeCell ref="A666:A668"/>
    <mergeCell ref="B666:B668"/>
    <mergeCell ref="C666:C668"/>
    <mergeCell ref="A669:A671"/>
    <mergeCell ref="B669:B671"/>
    <mergeCell ref="C669:C671"/>
    <mergeCell ref="A659:A661"/>
    <mergeCell ref="B659:B661"/>
    <mergeCell ref="C659:C661"/>
    <mergeCell ref="A663:A665"/>
    <mergeCell ref="B663:B665"/>
    <mergeCell ref="C663:C665"/>
    <mergeCell ref="A656:A658"/>
    <mergeCell ref="B656:B658"/>
    <mergeCell ref="A98:A100"/>
    <mergeCell ref="B98:B100"/>
    <mergeCell ref="C98:C100"/>
    <mergeCell ref="A102:A103"/>
    <mergeCell ref="B102:B103"/>
    <mergeCell ref="C102:C103"/>
    <mergeCell ref="C656:C658"/>
    <mergeCell ref="B442:D442"/>
    <mergeCell ref="A645:A651"/>
    <mergeCell ref="B645:B651"/>
    <mergeCell ref="C645:C651"/>
    <mergeCell ref="A652:A655"/>
    <mergeCell ref="B652:B655"/>
    <mergeCell ref="C652:C655"/>
    <mergeCell ref="A634:A637"/>
    <mergeCell ref="B634:B637"/>
    <mergeCell ref="C634:C637"/>
    <mergeCell ref="A639:A644"/>
    <mergeCell ref="B639:D644"/>
    <mergeCell ref="A626:A629"/>
    <mergeCell ref="B626:B629"/>
    <mergeCell ref="C626:C629"/>
    <mergeCell ref="A630:A633"/>
    <mergeCell ref="B630:B633"/>
    <mergeCell ref="C630:C633"/>
    <mergeCell ref="A621:A623"/>
    <mergeCell ref="B621:B623"/>
    <mergeCell ref="C621:C623"/>
    <mergeCell ref="A624:A625"/>
    <mergeCell ref="B624:B625"/>
    <mergeCell ref="C624:C625"/>
    <mergeCell ref="A611:A618"/>
    <mergeCell ref="B611:B618"/>
    <mergeCell ref="C611:C618"/>
    <mergeCell ref="A619:A620"/>
    <mergeCell ref="B619:B620"/>
    <mergeCell ref="C619:C620"/>
    <mergeCell ref="A600:A603"/>
    <mergeCell ref="B600:B603"/>
    <mergeCell ref="C600:C603"/>
    <mergeCell ref="A604:A610"/>
    <mergeCell ref="B604:B610"/>
    <mergeCell ref="C604:C610"/>
    <mergeCell ref="C588:D588"/>
    <mergeCell ref="H588:L588"/>
    <mergeCell ref="A589:A591"/>
    <mergeCell ref="B589:D591"/>
    <mergeCell ref="A592:A598"/>
    <mergeCell ref="B592:B598"/>
    <mergeCell ref="C592:C598"/>
    <mergeCell ref="A580:A581"/>
    <mergeCell ref="B580:B581"/>
    <mergeCell ref="C580:C581"/>
    <mergeCell ref="A582:A586"/>
    <mergeCell ref="B582:B586"/>
    <mergeCell ref="C582:C586"/>
    <mergeCell ref="A569:A571"/>
    <mergeCell ref="B569:D571"/>
    <mergeCell ref="A572:A577"/>
    <mergeCell ref="B572:B577"/>
    <mergeCell ref="C572:C577"/>
    <mergeCell ref="A561:A563"/>
    <mergeCell ref="B561:B563"/>
    <mergeCell ref="C561:C563"/>
    <mergeCell ref="A565:A567"/>
    <mergeCell ref="B565:B567"/>
    <mergeCell ref="C565:C567"/>
    <mergeCell ref="A553:A558"/>
    <mergeCell ref="B553:B558"/>
    <mergeCell ref="C553:C558"/>
    <mergeCell ref="A559:A560"/>
    <mergeCell ref="B559:B560"/>
    <mergeCell ref="C559:C560"/>
    <mergeCell ref="A539:A543"/>
    <mergeCell ref="B539:B543"/>
    <mergeCell ref="C539:C543"/>
    <mergeCell ref="A544:A552"/>
    <mergeCell ref="B544:B552"/>
    <mergeCell ref="C544:C552"/>
    <mergeCell ref="A531:A532"/>
    <mergeCell ref="B531:D532"/>
    <mergeCell ref="A533:A538"/>
    <mergeCell ref="B533:B538"/>
    <mergeCell ref="C533:C538"/>
    <mergeCell ref="A526:A528"/>
    <mergeCell ref="B526:B528"/>
    <mergeCell ref="C526:C528"/>
    <mergeCell ref="C530:D530"/>
    <mergeCell ref="H530:L530"/>
    <mergeCell ref="H526:H528"/>
    <mergeCell ref="I526:I528"/>
    <mergeCell ref="J526:J528"/>
    <mergeCell ref="K526:K528"/>
    <mergeCell ref="L526:L528"/>
    <mergeCell ref="A520:A521"/>
    <mergeCell ref="B520:B521"/>
    <mergeCell ref="C520:C521"/>
    <mergeCell ref="A522:A523"/>
    <mergeCell ref="B522:B523"/>
    <mergeCell ref="C522:C523"/>
    <mergeCell ref="A509:A512"/>
    <mergeCell ref="B509:B512"/>
    <mergeCell ref="C509:C512"/>
    <mergeCell ref="B515:D515"/>
    <mergeCell ref="A516:A519"/>
    <mergeCell ref="B516:B519"/>
    <mergeCell ref="C516:C519"/>
    <mergeCell ref="A504:A506"/>
    <mergeCell ref="B504:B506"/>
    <mergeCell ref="C504:C506"/>
    <mergeCell ref="A507:A508"/>
    <mergeCell ref="B507:B508"/>
    <mergeCell ref="C507:C508"/>
    <mergeCell ref="A497:A500"/>
    <mergeCell ref="B497:B500"/>
    <mergeCell ref="C497:C500"/>
    <mergeCell ref="A501:A503"/>
    <mergeCell ref="B501:D503"/>
    <mergeCell ref="A491:A492"/>
    <mergeCell ref="B491:B492"/>
    <mergeCell ref="C491:C492"/>
    <mergeCell ref="A494:A496"/>
    <mergeCell ref="B494:B496"/>
    <mergeCell ref="C494:C496"/>
    <mergeCell ref="A482:A488"/>
    <mergeCell ref="B482:B488"/>
    <mergeCell ref="C482:C488"/>
    <mergeCell ref="A489:A490"/>
    <mergeCell ref="B489:B490"/>
    <mergeCell ref="C489:C490"/>
    <mergeCell ref="A467:A469"/>
    <mergeCell ref="B467:B469"/>
    <mergeCell ref="C467:C469"/>
    <mergeCell ref="A470:A481"/>
    <mergeCell ref="B470:B481"/>
    <mergeCell ref="C470:C481"/>
    <mergeCell ref="A456:A462"/>
    <mergeCell ref="B456:B462"/>
    <mergeCell ref="C456:C462"/>
    <mergeCell ref="A463:A466"/>
    <mergeCell ref="B463:B466"/>
    <mergeCell ref="C463:C466"/>
    <mergeCell ref="A443:A451"/>
    <mergeCell ref="B443:B451"/>
    <mergeCell ref="C443:C451"/>
    <mergeCell ref="A452:A455"/>
    <mergeCell ref="B452:B455"/>
    <mergeCell ref="C452:C455"/>
    <mergeCell ref="C441:D441"/>
    <mergeCell ref="A431:A433"/>
    <mergeCell ref="B431:B433"/>
    <mergeCell ref="C431:C433"/>
    <mergeCell ref="A434:A440"/>
    <mergeCell ref="B434:B440"/>
    <mergeCell ref="C434:C440"/>
    <mergeCell ref="A420:A425"/>
    <mergeCell ref="B420:B425"/>
    <mergeCell ref="C420:C425"/>
    <mergeCell ref="A427:A430"/>
    <mergeCell ref="B427:D430"/>
    <mergeCell ref="A407:A409"/>
    <mergeCell ref="B407:B409"/>
    <mergeCell ref="C407:C409"/>
    <mergeCell ref="A411:A419"/>
    <mergeCell ref="B411:B419"/>
    <mergeCell ref="C411:C419"/>
    <mergeCell ref="A398:A400"/>
    <mergeCell ref="B398:D400"/>
    <mergeCell ref="A401:A406"/>
    <mergeCell ref="B401:B406"/>
    <mergeCell ref="C401:C406"/>
    <mergeCell ref="A383:A392"/>
    <mergeCell ref="B383:B392"/>
    <mergeCell ref="C383:C392"/>
    <mergeCell ref="A393:A396"/>
    <mergeCell ref="B393:B396"/>
    <mergeCell ref="C393:C396"/>
    <mergeCell ref="A375:A379"/>
    <mergeCell ref="B375:B379"/>
    <mergeCell ref="C375:C379"/>
    <mergeCell ref="A380:A382"/>
    <mergeCell ref="B380:B382"/>
    <mergeCell ref="C380:C382"/>
    <mergeCell ref="A367:A369"/>
    <mergeCell ref="B367:B369"/>
    <mergeCell ref="C367:C369"/>
    <mergeCell ref="A370:A371"/>
    <mergeCell ref="B370:B371"/>
    <mergeCell ref="C370:C371"/>
    <mergeCell ref="A359:A361"/>
    <mergeCell ref="B359:B361"/>
    <mergeCell ref="C359:C361"/>
    <mergeCell ref="H362:L362"/>
    <mergeCell ref="A363:A365"/>
    <mergeCell ref="B363:D365"/>
    <mergeCell ref="C362:D362"/>
    <mergeCell ref="H359:H361"/>
    <mergeCell ref="I359:I361"/>
    <mergeCell ref="J359:J361"/>
    <mergeCell ref="K359:K361"/>
    <mergeCell ref="L359:L361"/>
    <mergeCell ref="A352:A355"/>
    <mergeCell ref="B352:B355"/>
    <mergeCell ref="C352:C355"/>
    <mergeCell ref="A356:A358"/>
    <mergeCell ref="B356:B358"/>
    <mergeCell ref="C356:C358"/>
    <mergeCell ref="A342:A343"/>
    <mergeCell ref="B342:B343"/>
    <mergeCell ref="C342:C343"/>
    <mergeCell ref="A348:A351"/>
    <mergeCell ref="B348:B351"/>
    <mergeCell ref="C348:C351"/>
    <mergeCell ref="A334:A337"/>
    <mergeCell ref="B334:B337"/>
    <mergeCell ref="C334:C337"/>
    <mergeCell ref="A338:A341"/>
    <mergeCell ref="B338:B341"/>
    <mergeCell ref="C338:C341"/>
    <mergeCell ref="A320:A330"/>
    <mergeCell ref="B320:B330"/>
    <mergeCell ref="C320:C330"/>
    <mergeCell ref="A332:A333"/>
    <mergeCell ref="B332:D333"/>
    <mergeCell ref="A312:A316"/>
    <mergeCell ref="B312:B316"/>
    <mergeCell ref="C312:C316"/>
    <mergeCell ref="A317:A319"/>
    <mergeCell ref="B317:B319"/>
    <mergeCell ref="C317:C319"/>
    <mergeCell ref="A303:A305"/>
    <mergeCell ref="B303:B305"/>
    <mergeCell ref="C303:C305"/>
    <mergeCell ref="A306:A311"/>
    <mergeCell ref="B306:B311"/>
    <mergeCell ref="C306:C311"/>
    <mergeCell ref="A295:A298"/>
    <mergeCell ref="B295:B298"/>
    <mergeCell ref="C295:C298"/>
    <mergeCell ref="A299:A302"/>
    <mergeCell ref="B299:B302"/>
    <mergeCell ref="C299:C302"/>
    <mergeCell ref="A286:A289"/>
    <mergeCell ref="B286:B289"/>
    <mergeCell ref="C286:C289"/>
    <mergeCell ref="A290:A294"/>
    <mergeCell ref="B290:B294"/>
    <mergeCell ref="C290:C294"/>
    <mergeCell ref="A272:A274"/>
    <mergeCell ref="B272:B274"/>
    <mergeCell ref="C272:C274"/>
    <mergeCell ref="A278:A285"/>
    <mergeCell ref="B278:D285"/>
    <mergeCell ref="A267:A269"/>
    <mergeCell ref="B267:B269"/>
    <mergeCell ref="C267:C269"/>
    <mergeCell ref="A270:A271"/>
    <mergeCell ref="B270:B271"/>
    <mergeCell ref="C270:C271"/>
    <mergeCell ref="A258:A260"/>
    <mergeCell ref="B258:B260"/>
    <mergeCell ref="C258:C260"/>
    <mergeCell ref="A262:A266"/>
    <mergeCell ref="B262:B266"/>
    <mergeCell ref="C262:C266"/>
    <mergeCell ref="B232:D232"/>
    <mergeCell ref="A233:A235"/>
    <mergeCell ref="B233:B235"/>
    <mergeCell ref="C233:C235"/>
    <mergeCell ref="A236:A257"/>
    <mergeCell ref="B236:B257"/>
    <mergeCell ref="C236:C257"/>
    <mergeCell ref="A227:A230"/>
    <mergeCell ref="B227:B230"/>
    <mergeCell ref="C227:C230"/>
    <mergeCell ref="C231:D231"/>
    <mergeCell ref="H231:L231"/>
    <mergeCell ref="H228:H230"/>
    <mergeCell ref="I228:I230"/>
    <mergeCell ref="J228:J230"/>
    <mergeCell ref="K228:K230"/>
    <mergeCell ref="L228:L230"/>
    <mergeCell ref="A222:A224"/>
    <mergeCell ref="B222:B224"/>
    <mergeCell ref="C222:C224"/>
    <mergeCell ref="A225:A226"/>
    <mergeCell ref="B225:D226"/>
    <mergeCell ref="A215:A218"/>
    <mergeCell ref="B215:B218"/>
    <mergeCell ref="C215:C218"/>
    <mergeCell ref="A219:A221"/>
    <mergeCell ref="B219:B221"/>
    <mergeCell ref="C219:C221"/>
    <mergeCell ref="A208:A211"/>
    <mergeCell ref="B208:B211"/>
    <mergeCell ref="C208:C211"/>
    <mergeCell ref="A213:A214"/>
    <mergeCell ref="B213:B214"/>
    <mergeCell ref="C213:C214"/>
    <mergeCell ref="A202:A204"/>
    <mergeCell ref="B202:B204"/>
    <mergeCell ref="C202:C204"/>
    <mergeCell ref="A205:A207"/>
    <mergeCell ref="B205:B207"/>
    <mergeCell ref="C205:C207"/>
    <mergeCell ref="A192:A195"/>
    <mergeCell ref="B192:B195"/>
    <mergeCell ref="C192:C195"/>
    <mergeCell ref="A196:A201"/>
    <mergeCell ref="B196:B201"/>
    <mergeCell ref="C196:C201"/>
    <mergeCell ref="C187:D187"/>
    <mergeCell ref="H187:L187"/>
    <mergeCell ref="C132:D132"/>
    <mergeCell ref="A188:A191"/>
    <mergeCell ref="B188:D191"/>
    <mergeCell ref="H149:H150"/>
    <mergeCell ref="I149:I150"/>
    <mergeCell ref="J149:J150"/>
    <mergeCell ref="K149:K150"/>
    <mergeCell ref="L149:L150"/>
    <mergeCell ref="H170:H171"/>
    <mergeCell ref="I170:I171"/>
    <mergeCell ref="J170:J171"/>
    <mergeCell ref="K170:K171"/>
    <mergeCell ref="L170:L171"/>
    <mergeCell ref="H172:H174"/>
    <mergeCell ref="A181:A183"/>
    <mergeCell ref="B181:B183"/>
    <mergeCell ref="C181:C183"/>
    <mergeCell ref="A184:A186"/>
    <mergeCell ref="B184:B186"/>
    <mergeCell ref="C184:C186"/>
    <mergeCell ref="A175:A177"/>
    <mergeCell ref="B175:B177"/>
    <mergeCell ref="C175:C177"/>
    <mergeCell ref="A178:A180"/>
    <mergeCell ref="B178:B180"/>
    <mergeCell ref="C178:C180"/>
    <mergeCell ref="B167:D167"/>
    <mergeCell ref="A168:A171"/>
    <mergeCell ref="B168:B171"/>
    <mergeCell ref="C168:C171"/>
    <mergeCell ref="A172:A174"/>
    <mergeCell ref="B172:B174"/>
    <mergeCell ref="C172:C174"/>
    <mergeCell ref="A157:A160"/>
    <mergeCell ref="B157:B160"/>
    <mergeCell ref="C157:C160"/>
    <mergeCell ref="A161:A164"/>
    <mergeCell ref="B161:B164"/>
    <mergeCell ref="C161:C164"/>
    <mergeCell ref="A141:A150"/>
    <mergeCell ref="B141:B150"/>
    <mergeCell ref="C141:C150"/>
    <mergeCell ref="A152:A156"/>
    <mergeCell ref="B152:B156"/>
    <mergeCell ref="C152:C156"/>
    <mergeCell ref="A129:A131"/>
    <mergeCell ref="B129:B131"/>
    <mergeCell ref="C129:C131"/>
    <mergeCell ref="A133:A140"/>
    <mergeCell ref="B133:D140"/>
    <mergeCell ref="A121:A123"/>
    <mergeCell ref="B121:B123"/>
    <mergeCell ref="C121:C123"/>
    <mergeCell ref="A126:A127"/>
    <mergeCell ref="B126:B127"/>
    <mergeCell ref="C126:C127"/>
    <mergeCell ref="H121:H123"/>
    <mergeCell ref="I121:I123"/>
    <mergeCell ref="J121:J123"/>
    <mergeCell ref="A113:A114"/>
    <mergeCell ref="B113:B114"/>
    <mergeCell ref="C113:C114"/>
    <mergeCell ref="B115:D115"/>
    <mergeCell ref="A118:A120"/>
    <mergeCell ref="B118:B120"/>
    <mergeCell ref="C118:C120"/>
    <mergeCell ref="B83:D83"/>
    <mergeCell ref="B108:D108"/>
    <mergeCell ref="A109:A111"/>
    <mergeCell ref="B109:B111"/>
    <mergeCell ref="C109:C111"/>
    <mergeCell ref="A73:A74"/>
    <mergeCell ref="B73:B74"/>
    <mergeCell ref="C73:C74"/>
    <mergeCell ref="A75:A80"/>
    <mergeCell ref="B75:B80"/>
    <mergeCell ref="C75:C80"/>
    <mergeCell ref="A59:A68"/>
    <mergeCell ref="B59:B68"/>
    <mergeCell ref="C59:C68"/>
    <mergeCell ref="A70:A72"/>
    <mergeCell ref="B70:B72"/>
    <mergeCell ref="C70:C72"/>
    <mergeCell ref="A52:A56"/>
    <mergeCell ref="B52:B56"/>
    <mergeCell ref="C52:C56"/>
    <mergeCell ref="A57:A58"/>
    <mergeCell ref="B57:D58"/>
    <mergeCell ref="A44:A46"/>
    <mergeCell ref="B44:B46"/>
    <mergeCell ref="C44:C46"/>
    <mergeCell ref="A48:A50"/>
    <mergeCell ref="B48:B50"/>
    <mergeCell ref="C48:C50"/>
    <mergeCell ref="A31:A37"/>
    <mergeCell ref="B31:B37"/>
    <mergeCell ref="C31:C37"/>
    <mergeCell ref="B39:D39"/>
    <mergeCell ref="A40:A43"/>
    <mergeCell ref="B40:B43"/>
    <mergeCell ref="C40:C43"/>
    <mergeCell ref="A23:A27"/>
    <mergeCell ref="B23:B27"/>
    <mergeCell ref="C23:C27"/>
    <mergeCell ref="A28:A30"/>
    <mergeCell ref="B28:B30"/>
    <mergeCell ref="C28:C30"/>
    <mergeCell ref="C12:D12"/>
    <mergeCell ref="A13:A14"/>
    <mergeCell ref="B13:D14"/>
    <mergeCell ref="A15:A22"/>
    <mergeCell ref="B15:B22"/>
    <mergeCell ref="C15:C22"/>
    <mergeCell ref="A6:L6"/>
    <mergeCell ref="A9:A11"/>
    <mergeCell ref="B9:B11"/>
    <mergeCell ref="C9:C11"/>
    <mergeCell ref="D9:D11"/>
    <mergeCell ref="E9:E11"/>
    <mergeCell ref="F9:F11"/>
    <mergeCell ref="G9:G11"/>
    <mergeCell ref="H10:H11"/>
    <mergeCell ref="I10:I11"/>
    <mergeCell ref="H9:L9"/>
    <mergeCell ref="J10:L10"/>
    <mergeCell ref="H12:L12"/>
  </mergeCells>
  <pageMargins left="0.4" right="0.4" top="0.4" bottom="0.4" header="0.4" footer="0.4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Planas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Dovilė Jozonienė</dc:creator>
  <cp:lastModifiedBy>Vaida Kalasevičienė</cp:lastModifiedBy>
  <dcterms:created xsi:type="dcterms:W3CDTF">2025-01-20T07:11:43Z</dcterms:created>
  <dcterms:modified xsi:type="dcterms:W3CDTF">2025-01-20T14:08:13Z</dcterms:modified>
</cp:coreProperties>
</file>