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da.kalaseviciene\Documents\Vaida\biudžetas\2025-2027\merui\"/>
    </mc:Choice>
  </mc:AlternateContent>
  <xr:revisionPtr revIDLastSave="0" documentId="8_{1CC83B9E-B2C2-4A7C-B8FE-88D8C41FD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PRIEDAS" sheetId="2" r:id="rId1"/>
  </sheets>
  <calcPr calcId="191029"/>
</workbook>
</file>

<file path=xl/calcChain.xml><?xml version="1.0" encoding="utf-8"?>
<calcChain xmlns="http://schemas.openxmlformats.org/spreadsheetml/2006/main">
  <c r="F14" i="2" l="1"/>
  <c r="G14" i="2"/>
  <c r="H14" i="2"/>
  <c r="F22" i="2"/>
  <c r="G22" i="2"/>
  <c r="H22" i="2"/>
  <c r="F27" i="2"/>
  <c r="G27" i="2"/>
  <c r="H27" i="2"/>
  <c r="F29" i="2"/>
  <c r="G29" i="2"/>
  <c r="H29" i="2"/>
  <c r="F38" i="2"/>
  <c r="G38" i="2"/>
  <c r="H38" i="2"/>
  <c r="F42" i="2"/>
  <c r="G42" i="2"/>
  <c r="H42" i="2"/>
  <c r="F46" i="2"/>
  <c r="G46" i="2"/>
  <c r="H46" i="2"/>
  <c r="F50" i="2"/>
  <c r="G50" i="2"/>
  <c r="H50" i="2"/>
  <c r="F57" i="2"/>
  <c r="G57" i="2"/>
  <c r="H57" i="2"/>
  <c r="F68" i="2"/>
  <c r="G68" i="2"/>
  <c r="H68" i="2"/>
  <c r="F71" i="2"/>
  <c r="G71" i="2"/>
  <c r="H71" i="2"/>
  <c r="F73" i="2"/>
  <c r="G73" i="2"/>
  <c r="H73" i="2"/>
  <c r="F96" i="2"/>
  <c r="G96" i="2"/>
  <c r="H96" i="2"/>
  <c r="H81" i="2" s="1"/>
  <c r="F100" i="2"/>
  <c r="G100" i="2"/>
  <c r="H100" i="2"/>
  <c r="F107" i="2"/>
  <c r="G107" i="2"/>
  <c r="H107" i="2"/>
  <c r="F110" i="2"/>
  <c r="G110" i="2"/>
  <c r="H110" i="2"/>
  <c r="F119" i="2"/>
  <c r="G119" i="2"/>
  <c r="H119" i="2"/>
  <c r="F122" i="2"/>
  <c r="G122" i="2"/>
  <c r="H122" i="2"/>
  <c r="F134" i="2"/>
  <c r="G134" i="2"/>
  <c r="H134" i="2"/>
  <c r="F144" i="2"/>
  <c r="G144" i="2"/>
  <c r="H144" i="2"/>
  <c r="F149" i="2"/>
  <c r="G149" i="2"/>
  <c r="H149" i="2"/>
  <c r="F153" i="2"/>
  <c r="G153" i="2"/>
  <c r="H153" i="2"/>
  <c r="F160" i="2"/>
  <c r="G160" i="2"/>
  <c r="H160" i="2"/>
  <c r="F164" i="2"/>
  <c r="G164" i="2"/>
  <c r="H164" i="2"/>
  <c r="F167" i="2"/>
  <c r="G167" i="2"/>
  <c r="H167" i="2"/>
  <c r="F170" i="2"/>
  <c r="G170" i="2"/>
  <c r="H170" i="2"/>
  <c r="F173" i="2"/>
  <c r="G173" i="2"/>
  <c r="H173" i="2"/>
  <c r="F181" i="2"/>
  <c r="G181" i="2"/>
  <c r="H181" i="2"/>
  <c r="F184" i="2"/>
  <c r="G184" i="2"/>
  <c r="H184" i="2"/>
  <c r="F190" i="2"/>
  <c r="G190" i="2"/>
  <c r="H190" i="2"/>
  <c r="F193" i="2"/>
  <c r="G193" i="2"/>
  <c r="H193" i="2"/>
  <c r="F196" i="2"/>
  <c r="G196" i="2"/>
  <c r="H196" i="2"/>
  <c r="F201" i="2"/>
  <c r="G201" i="2"/>
  <c r="H201" i="2"/>
  <c r="F203" i="2"/>
  <c r="G203" i="2"/>
  <c r="H203" i="2"/>
  <c r="F209" i="2"/>
  <c r="F207" i="2" s="1"/>
  <c r="G209" i="2"/>
  <c r="G207" i="2" s="1"/>
  <c r="H209" i="2"/>
  <c r="H207" i="2" s="1"/>
  <c r="F214" i="2"/>
  <c r="G214" i="2"/>
  <c r="H214" i="2"/>
  <c r="F216" i="2"/>
  <c r="G216" i="2"/>
  <c r="H216" i="2"/>
  <c r="F238" i="2"/>
  <c r="G238" i="2"/>
  <c r="H238" i="2"/>
  <c r="F241" i="2"/>
  <c r="G241" i="2"/>
  <c r="H241" i="2"/>
  <c r="F246" i="2"/>
  <c r="G246" i="2"/>
  <c r="H246" i="2"/>
  <c r="F249" i="2"/>
  <c r="G249" i="2"/>
  <c r="H249" i="2"/>
  <c r="F251" i="2"/>
  <c r="G251" i="2"/>
  <c r="H251" i="2"/>
  <c r="F265" i="2"/>
  <c r="G265" i="2"/>
  <c r="H265" i="2"/>
  <c r="F269" i="2"/>
  <c r="G269" i="2"/>
  <c r="H269" i="2"/>
  <c r="F272" i="2"/>
  <c r="G272" i="2"/>
  <c r="H272" i="2"/>
  <c r="F275" i="2"/>
  <c r="G275" i="2"/>
  <c r="H275" i="2"/>
  <c r="F280" i="2"/>
  <c r="G280" i="2"/>
  <c r="H280" i="2"/>
  <c r="F286" i="2"/>
  <c r="G286" i="2"/>
  <c r="H286" i="2"/>
  <c r="F290" i="2"/>
  <c r="G290" i="2"/>
  <c r="H290" i="2"/>
  <c r="F305" i="2"/>
  <c r="G305" i="2"/>
  <c r="H305" i="2"/>
  <c r="F309" i="2"/>
  <c r="G309" i="2"/>
  <c r="H309" i="2"/>
  <c r="F312" i="2"/>
  <c r="G312" i="2"/>
  <c r="H312" i="2"/>
  <c r="F315" i="2"/>
  <c r="G315" i="2"/>
  <c r="H315" i="2"/>
  <c r="F324" i="2"/>
  <c r="G324" i="2"/>
  <c r="H324" i="2"/>
  <c r="F327" i="2"/>
  <c r="G327" i="2"/>
  <c r="H327" i="2"/>
  <c r="F332" i="2"/>
  <c r="G332" i="2"/>
  <c r="H332" i="2"/>
  <c r="F337" i="2"/>
  <c r="G337" i="2"/>
  <c r="H337" i="2"/>
  <c r="F340" i="2"/>
  <c r="G340" i="2"/>
  <c r="H340" i="2"/>
  <c r="F350" i="2"/>
  <c r="G350" i="2"/>
  <c r="H350" i="2"/>
  <c r="F358" i="2"/>
  <c r="G358" i="2"/>
  <c r="H358" i="2"/>
  <c r="F365" i="2"/>
  <c r="G365" i="2"/>
  <c r="G355" i="2" s="1"/>
  <c r="H365" i="2"/>
  <c r="F374" i="2"/>
  <c r="G374" i="2"/>
  <c r="H374" i="2"/>
  <c r="F385" i="2"/>
  <c r="G385" i="2"/>
  <c r="H385" i="2"/>
  <c r="F388" i="2"/>
  <c r="G388" i="2"/>
  <c r="H388" i="2"/>
  <c r="F397" i="2"/>
  <c r="G397" i="2"/>
  <c r="H397" i="2"/>
  <c r="F406" i="2"/>
  <c r="G406" i="2"/>
  <c r="H406" i="2"/>
  <c r="F410" i="2"/>
  <c r="G410" i="2"/>
  <c r="H410" i="2"/>
  <c r="F416" i="2"/>
  <c r="G416" i="2"/>
  <c r="H416" i="2"/>
  <c r="F420" i="2"/>
  <c r="G420" i="2"/>
  <c r="H420" i="2"/>
  <c r="F423" i="2"/>
  <c r="G423" i="2"/>
  <c r="H423" i="2"/>
  <c r="F435" i="2"/>
  <c r="G435" i="2"/>
  <c r="H435" i="2"/>
  <c r="F441" i="2"/>
  <c r="G441" i="2"/>
  <c r="H441" i="2"/>
  <c r="F443" i="2"/>
  <c r="G443" i="2"/>
  <c r="H443" i="2"/>
  <c r="F446" i="2"/>
  <c r="G446" i="2"/>
  <c r="H446" i="2"/>
  <c r="F449" i="2"/>
  <c r="G449" i="2"/>
  <c r="H449" i="2"/>
  <c r="F456" i="2"/>
  <c r="G456" i="2"/>
  <c r="H456" i="2"/>
  <c r="F459" i="2"/>
  <c r="F453" i="2" s="1"/>
  <c r="G459" i="2"/>
  <c r="G453" i="2" s="1"/>
  <c r="H459" i="2"/>
  <c r="F461" i="2"/>
  <c r="G461" i="2"/>
  <c r="H461" i="2"/>
  <c r="F465" i="2"/>
  <c r="G465" i="2"/>
  <c r="H465" i="2"/>
  <c r="F469" i="2"/>
  <c r="G469" i="2"/>
  <c r="H469" i="2"/>
  <c r="F471" i="2"/>
  <c r="G471" i="2"/>
  <c r="H471" i="2"/>
  <c r="F475" i="2"/>
  <c r="G475" i="2"/>
  <c r="H475" i="2"/>
  <c r="F482" i="2"/>
  <c r="G482" i="2"/>
  <c r="H482" i="2"/>
  <c r="F487" i="2"/>
  <c r="G487" i="2"/>
  <c r="H487" i="2"/>
  <c r="F491" i="2"/>
  <c r="G491" i="2"/>
  <c r="H491" i="2"/>
  <c r="F500" i="2"/>
  <c r="G500" i="2"/>
  <c r="H500" i="2"/>
  <c r="F506" i="2"/>
  <c r="G506" i="2"/>
  <c r="H506" i="2"/>
  <c r="F508" i="2"/>
  <c r="G508" i="2"/>
  <c r="H508" i="2"/>
  <c r="F512" i="2"/>
  <c r="G512" i="2"/>
  <c r="H512" i="2"/>
  <c r="F519" i="2"/>
  <c r="G519" i="2"/>
  <c r="H519" i="2"/>
  <c r="H516" i="2" s="1"/>
  <c r="F525" i="2"/>
  <c r="G525" i="2"/>
  <c r="H525" i="2"/>
  <c r="F532" i="2"/>
  <c r="G532" i="2"/>
  <c r="H532" i="2"/>
  <c r="F540" i="2"/>
  <c r="G540" i="2"/>
  <c r="H540" i="2"/>
  <c r="F544" i="2"/>
  <c r="G544" i="2"/>
  <c r="H544" i="2"/>
  <c r="F550" i="2"/>
  <c r="G550" i="2"/>
  <c r="H550" i="2"/>
  <c r="F558" i="2"/>
  <c r="G558" i="2"/>
  <c r="H558" i="2"/>
  <c r="F560" i="2"/>
  <c r="G560" i="2"/>
  <c r="H560" i="2"/>
  <c r="F563" i="2"/>
  <c r="G563" i="2"/>
  <c r="H563" i="2"/>
  <c r="F565" i="2"/>
  <c r="G565" i="2"/>
  <c r="H565" i="2"/>
  <c r="F569" i="2"/>
  <c r="G569" i="2"/>
  <c r="H569" i="2"/>
  <c r="F579" i="2"/>
  <c r="G579" i="2"/>
  <c r="H579" i="2"/>
  <c r="F586" i="2"/>
  <c r="G586" i="2"/>
  <c r="H586" i="2"/>
  <c r="F590" i="2"/>
  <c r="G590" i="2"/>
  <c r="H590" i="2"/>
  <c r="F593" i="2"/>
  <c r="G593" i="2"/>
  <c r="H593" i="2"/>
  <c r="F597" i="2"/>
  <c r="G597" i="2"/>
  <c r="H597" i="2"/>
  <c r="F601" i="2"/>
  <c r="G601" i="2"/>
  <c r="H601" i="2"/>
  <c r="F605" i="2"/>
  <c r="G605" i="2"/>
  <c r="H605" i="2"/>
  <c r="F609" i="2"/>
  <c r="G609" i="2"/>
  <c r="H609" i="2"/>
  <c r="F612" i="2"/>
  <c r="G612" i="2"/>
  <c r="H612" i="2"/>
  <c r="F618" i="2"/>
  <c r="G618" i="2"/>
  <c r="H618" i="2"/>
  <c r="F621" i="2"/>
  <c r="G621" i="2"/>
  <c r="H621" i="2"/>
  <c r="F624" i="2"/>
  <c r="G624" i="2"/>
  <c r="H624" i="2"/>
  <c r="F627" i="2"/>
  <c r="G627" i="2"/>
  <c r="H627" i="2"/>
  <c r="F636" i="2"/>
  <c r="G636" i="2"/>
  <c r="H636" i="2"/>
  <c r="F638" i="2"/>
  <c r="G638" i="2"/>
  <c r="H638" i="2"/>
  <c r="F640" i="2"/>
  <c r="G640" i="2"/>
  <c r="H640" i="2"/>
  <c r="F646" i="2"/>
  <c r="G646" i="2"/>
  <c r="H646" i="2"/>
  <c r="F654" i="2"/>
  <c r="G654" i="2"/>
  <c r="H654" i="2"/>
  <c r="F657" i="2"/>
  <c r="G657" i="2"/>
  <c r="H657" i="2"/>
  <c r="F660" i="2"/>
  <c r="G660" i="2"/>
  <c r="H660" i="2"/>
  <c r="F667" i="2"/>
  <c r="G667" i="2"/>
  <c r="H667" i="2"/>
  <c r="F671" i="2"/>
  <c r="G671" i="2"/>
  <c r="H671" i="2"/>
  <c r="F681" i="2"/>
  <c r="G681" i="2"/>
  <c r="H681" i="2"/>
  <c r="F689" i="2"/>
  <c r="G689" i="2"/>
  <c r="H689" i="2"/>
  <c r="F694" i="2"/>
  <c r="G694" i="2"/>
  <c r="H694" i="2"/>
  <c r="F700" i="2"/>
  <c r="G700" i="2"/>
  <c r="H700" i="2"/>
  <c r="F708" i="2"/>
  <c r="G708" i="2"/>
  <c r="H708" i="2"/>
  <c r="F710" i="2"/>
  <c r="G710" i="2"/>
  <c r="H710" i="2"/>
  <c r="F715" i="2"/>
  <c r="G715" i="2"/>
  <c r="H715" i="2"/>
  <c r="F719" i="2"/>
  <c r="G719" i="2"/>
  <c r="H719" i="2"/>
  <c r="F722" i="2"/>
  <c r="G722" i="2"/>
  <c r="H722" i="2"/>
  <c r="F725" i="2"/>
  <c r="G725" i="2"/>
  <c r="H725" i="2"/>
  <c r="F729" i="2"/>
  <c r="G729" i="2"/>
  <c r="H729" i="2"/>
  <c r="F732" i="2"/>
  <c r="G732" i="2"/>
  <c r="H732" i="2"/>
  <c r="F737" i="2"/>
  <c r="G737" i="2"/>
  <c r="H737" i="2"/>
  <c r="C747" i="2"/>
  <c r="D747" i="2"/>
  <c r="E747" i="2"/>
  <c r="C756" i="2"/>
  <c r="D756" i="2"/>
  <c r="E756" i="2"/>
  <c r="F112" i="2" l="1"/>
  <c r="H632" i="2"/>
  <c r="F355" i="2"/>
  <c r="G177" i="2"/>
  <c r="G176" i="2" s="1"/>
  <c r="F81" i="2"/>
  <c r="H37" i="2"/>
  <c r="G106" i="2"/>
  <c r="F529" i="2"/>
  <c r="H112" i="2"/>
  <c r="D760" i="2"/>
  <c r="E760" i="2"/>
  <c r="G516" i="2"/>
  <c r="F632" i="2"/>
  <c r="F516" i="2"/>
  <c r="F257" i="2"/>
  <c r="H257" i="2"/>
  <c r="H355" i="2"/>
  <c r="G529" i="2"/>
  <c r="C760" i="2"/>
  <c r="G717" i="2"/>
  <c r="G632" i="2"/>
  <c r="F686" i="2"/>
  <c r="F643" i="2"/>
  <c r="F573" i="2"/>
  <c r="F480" i="2"/>
  <c r="F464" i="2"/>
  <c r="F396" i="2"/>
  <c r="F381" i="2"/>
  <c r="F320" i="2"/>
  <c r="F302" i="2"/>
  <c r="F213" i="2"/>
  <c r="H177" i="2"/>
  <c r="H176" i="2" s="1"/>
  <c r="H159" i="2"/>
  <c r="H106" i="2"/>
  <c r="H55" i="2"/>
  <c r="H12" i="2"/>
  <c r="H686" i="2"/>
  <c r="H643" i="2"/>
  <c r="H573" i="2"/>
  <c r="H480" i="2"/>
  <c r="H479" i="2" s="1"/>
  <c r="H464" i="2"/>
  <c r="H396" i="2"/>
  <c r="H381" i="2"/>
  <c r="H320" i="2"/>
  <c r="H302" i="2"/>
  <c r="H213" i="2"/>
  <c r="G126" i="2"/>
  <c r="G112" i="2"/>
  <c r="G81" i="2"/>
  <c r="G37" i="2"/>
  <c r="G257" i="2"/>
  <c r="F126" i="2"/>
  <c r="F37" i="2"/>
  <c r="H453" i="2"/>
  <c r="G159" i="2"/>
  <c r="G55" i="2"/>
  <c r="G12" i="2"/>
  <c r="F717" i="2"/>
  <c r="H126" i="2"/>
  <c r="H717" i="2"/>
  <c r="H529" i="2"/>
  <c r="G686" i="2"/>
  <c r="G643" i="2"/>
  <c r="G573" i="2"/>
  <c r="G480" i="2"/>
  <c r="G464" i="2"/>
  <c r="G396" i="2"/>
  <c r="G381" i="2"/>
  <c r="G320" i="2"/>
  <c r="G302" i="2"/>
  <c r="G213" i="2"/>
  <c r="F177" i="2"/>
  <c r="F176" i="2" s="1"/>
  <c r="F159" i="2"/>
  <c r="F106" i="2"/>
  <c r="F55" i="2"/>
  <c r="F12" i="2"/>
  <c r="G395" i="2" l="1"/>
  <c r="G319" i="2"/>
  <c r="H125" i="2"/>
  <c r="F125" i="2"/>
  <c r="G11" i="2"/>
  <c r="G479" i="2"/>
  <c r="G685" i="2"/>
  <c r="G125" i="2"/>
  <c r="H395" i="2"/>
  <c r="F11" i="2"/>
  <c r="F319" i="2"/>
  <c r="H212" i="2"/>
  <c r="H319" i="2"/>
  <c r="H528" i="2"/>
  <c r="F212" i="2"/>
  <c r="F528" i="2"/>
  <c r="F395" i="2"/>
  <c r="F479" i="2"/>
  <c r="F685" i="2"/>
  <c r="H11" i="2"/>
  <c r="G528" i="2"/>
  <c r="G212" i="2"/>
  <c r="H685" i="2"/>
</calcChain>
</file>

<file path=xl/sharedStrings.xml><?xml version="1.0" encoding="utf-8"?>
<sst xmlns="http://schemas.openxmlformats.org/spreadsheetml/2006/main" count="2484" uniqueCount="1303">
  <si>
    <t>Kodas</t>
  </si>
  <si>
    <t>Pavadinimas</t>
  </si>
  <si>
    <t>Vykdytojas</t>
  </si>
  <si>
    <t>SP lėšos</t>
  </si>
  <si>
    <t>Papildomas (-i) požymis (-iai)</t>
  </si>
  <si>
    <t>2025 metų lėšų projektas</t>
  </si>
  <si>
    <t>2026 metų lėšų projektas</t>
  </si>
  <si>
    <t>2027 metų lėšų projektas</t>
  </si>
  <si>
    <t>Rodiklis</t>
  </si>
  <si>
    <t>Mato vnt.</t>
  </si>
  <si>
    <t>Planas</t>
  </si>
  <si>
    <t>2025</t>
  </si>
  <si>
    <t>2026</t>
  </si>
  <si>
    <t>2027</t>
  </si>
  <si>
    <t>01</t>
  </si>
  <si>
    <t>Savivaldybės valdymo programa</t>
  </si>
  <si>
    <t>Bendrųjų reikalų skyrius</t>
  </si>
  <si>
    <t>01-01</t>
  </si>
  <si>
    <t>Gerinti veiklos valdymą ir efektyviai išnaudoti pažangius skaitmeninius sprendimus teikiant paslaugas</t>
  </si>
  <si>
    <t>Savivaldybės biudžetas, tenkantis vienai patvirtintai pareigybei savivaldybės administracijoje</t>
  </si>
  <si>
    <t>eur</t>
  </si>
  <si>
    <t>Vieta pagal lyčių lygybės stebėsenos savivaldybėse rodiklius</t>
  </si>
  <si>
    <t>vnt.</t>
  </si>
  <si>
    <t>01-01-01</t>
  </si>
  <si>
    <t>Taikyti gerąsias valdymo praktikas Savivaldybėje ir jos valdomosiose įmonėse ir įstaigose</t>
  </si>
  <si>
    <t>Turto valdymo skyrius; Vyriausiasis specialistas (už korupcijai atsparios aplinkos kūrimą atsakingas asmuo); Informacinių technologijų poskyris; Viešųjų pirkimų poskyris; Viešųjų investicijų skyrius</t>
  </si>
  <si>
    <t>Savivaldybės biudžetinių įstaigų, organizuojančių anoniminę darbuotojų apklausą tolerancijos korupcijai indeksui nustatyti, dalis</t>
  </si>
  <si>
    <t>proc.</t>
  </si>
  <si>
    <t>1.05.</t>
  </si>
  <si>
    <t>Savivaldybės administracijos žaliųjų pirkimų vertės dalis, nuo visų pirkimų</t>
  </si>
  <si>
    <t>1.08.</t>
  </si>
  <si>
    <t>Pirkimų dalis, kuriuose pirkimų procese nustatomi socialiniai kriterijai</t>
  </si>
  <si>
    <t>Savivaldybės administracijos inovatyvių pirkimų dalis, nuo visų pirkimų</t>
  </si>
  <si>
    <t>Savivaldybės administracijos pirkimų, kuomet taikoma kokybės kriterijus, vertės dalis nuo visų pirkimų</t>
  </si>
  <si>
    <t>Pavaldžių Savivaldybės biudžetinių įstaigų ir valdomų įmonių dalis, pasitvirtinusi "Dovanų politiką"</t>
  </si>
  <si>
    <t>Sudaryta turto valdymo sistemos diegimo sutartis</t>
  </si>
  <si>
    <t>Sukurtas pažangus Savivaldybės ir jos įstaigų turto valdymo sprendimas</t>
  </si>
  <si>
    <t>01-01-02</t>
  </si>
  <si>
    <t>Kurti ir palaikyti Savivaldybės ir jos įstaigų viešosios informacijos sistemas</t>
  </si>
  <si>
    <t>Asmenų aptarnavimo skyrius; Informacinių technologijų poskyris</t>
  </si>
  <si>
    <t>Atliktas „siauliai.lt” ir susijusių platformų pritaikymas skirtingas negalias turintiems asmenims</t>
  </si>
  <si>
    <t>Naujai atvertų duomenų rinkinių, teikiančių informaciją realiu laiku, skaičius</t>
  </si>
  <si>
    <t>1.01.</t>
  </si>
  <si>
    <t>01-01-03</t>
  </si>
  <si>
    <t>Pasirengti efektyviam ekstremaliųjų situacijų valdymui Šiaulių miesto savivaldybėje</t>
  </si>
  <si>
    <t>Statybos ir renovacijos skyrius; Civilinės saugos poskyris</t>
  </si>
  <si>
    <t>Užtikrintas aprūpinimas priemonėmis, skirtomis ekstremaliųjų situacijų valdymui</t>
  </si>
  <si>
    <t>Slėptuvės, Šiaulių miesto savivaldybės ekstremaliųjų situacijų operacijų centro veiklai, įrengimo darbų dalis</t>
  </si>
  <si>
    <t>01-01-04</t>
  </si>
  <si>
    <t>Įgyvendinti lyčių lygybės, lygių galimybių ir korupcijos prevencijos principus</t>
  </si>
  <si>
    <t>Asmenų aptarnavimo skyrius; Veiklos valdymo skyrius</t>
  </si>
  <si>
    <t>Atnaujinta nuotolinio darbo savivaldybės administracijoje tvarka</t>
  </si>
  <si>
    <t>Darbuotojų, pasinaudojusių nuotolinio darbo galimybe, dalis nuo visų darbuotojų</t>
  </si>
  <si>
    <t>Pateiktų pasiūlymų, dėl lygių galimybių kriterijų/krypčių numatymo Savivaldybės vykdomose programose, skaičius</t>
  </si>
  <si>
    <t>Parengtų straipsnių lygių galimybių klausimais skaičius</t>
  </si>
  <si>
    <t>Įsteigta koordinatoriaus, lygių galimybių, lyčių lygybės ir apsaugos nuo smurto artimoje aplinkoje, pareigybė</t>
  </si>
  <si>
    <t>Suorganizuotų anoniminių apklausų savivaldybės administracijos darbuotojų psichologinio mikroklimato temomis skaičius</t>
  </si>
  <si>
    <t>Suorganizuotų anoniminių apklausų savivaldybės administracijos darbuotojų tolerancijos korupcijai indeksui nustatyti skaičius</t>
  </si>
  <si>
    <t>01-01-05</t>
  </si>
  <si>
    <t>Įgyvendinti administracinės naštos mažinimo planą ir organizuoti plano įgyvendinimo stebėseną</t>
  </si>
  <si>
    <t>Asmenų aptarnavimo skyrius</t>
  </si>
  <si>
    <t>Įgyvendintų plano priemonių skaičius</t>
  </si>
  <si>
    <t>01-02</t>
  </si>
  <si>
    <t>Skatinti įtraukų bendradarbiavimą su visuomene ir suinteresuotomis šalimis</t>
  </si>
  <si>
    <t>Gyventojų aktyvumas vietos savivaldos rinkimuose</t>
  </si>
  <si>
    <t>01-02-01</t>
  </si>
  <si>
    <t>Stiprinti bendruomeninę veiklą savivaldybėje</t>
  </si>
  <si>
    <t>Vyriausiasis specialistas (nevyriausybinių organizacijų koordinatorius); Šiaulių dailės mokykla</t>
  </si>
  <si>
    <t>Finansuotų projektų skaičius</t>
  </si>
  <si>
    <t>Finansuotų prašymų skaičius</t>
  </si>
  <si>
    <t>Įgyvendintų iniciatyvų skaičius</t>
  </si>
  <si>
    <t>01-02-02</t>
  </si>
  <si>
    <t>Skatinti nevyriausybinių organizacijų veiklą ir užtikrinti jų plėtrą</t>
  </si>
  <si>
    <t>Vyriausiasis specialistas (nevyriausybinių organizacijų koordinatorius)</t>
  </si>
  <si>
    <t>Suorganizuotų mokymų skaičius</t>
  </si>
  <si>
    <t>Įgyvendintų iniciatyvų skaičius, bendradarbiaujant su Savivaldybės tarybos patvirtintomis jaunimo, nevyriausybinių ir bendruomeninių organizacijų tarybomis</t>
  </si>
  <si>
    <t>01-02-03</t>
  </si>
  <si>
    <t>Dalyvauti rengiant ir įgyvendinant Šiaulių vietos veiklos grupės strategiją</t>
  </si>
  <si>
    <t>Viešųjų investicijų skyrius</t>
  </si>
  <si>
    <t>Išmokėta prisidėjimo dalis prie Šiaulių miesto vietos veiklos grupės 2022–2029 metų vietos plėtros strategijos įgyvendinimo</t>
  </si>
  <si>
    <t>01-02-04</t>
  </si>
  <si>
    <t>Vystyti dalyvaujamojo biudžeto modelį</t>
  </si>
  <si>
    <t>Miesto ūkio ir aplinkos skyrius; Jaunimo reikalų koordinatorius (patarėjas); Miesto plėtros ir paveldosaugos skyrius; Vyriausiasis specialistas (nevyriausybinių organizacijų koordinatorius)</t>
  </si>
  <si>
    <t>Įgyvendintų bendruomenės iniciatyvų skaičius</t>
  </si>
  <si>
    <t>Įgyvendintų mokinių iniciatyvų skaičius</t>
  </si>
  <si>
    <t>Balsavusiųjų dalyvaujamojo biudžeto projektų atrankose dalis nuo visų gyventojų</t>
  </si>
  <si>
    <t>01-02-05</t>
  </si>
  <si>
    <t>Įgyvendinti prevencines programas</t>
  </si>
  <si>
    <t>Civilinės saugos ir teisėtvarkos skyrius; Civilinės saugos poskyris</t>
  </si>
  <si>
    <t>Įgyvendintų  nusikaltimų ir gaisrų prevencinių priemonių skaičius</t>
  </si>
  <si>
    <t>01-02-06</t>
  </si>
  <si>
    <t>Užtikrinti sklandžią imigrantų integraciją Šiauliuose</t>
  </si>
  <si>
    <t>Socialinių paslaugų skyrius; Švietimo skyrius</t>
  </si>
  <si>
    <t>kompl.</t>
  </si>
  <si>
    <t>Įstaigų (savivaldybės biudžetinių įstaigų, nevyriausybinių organizacijų ir kt), teikiančių informaciją interneto svetainėse, skaičius</t>
  </si>
  <si>
    <t>Užsienio šalių piliečių, gavusių paslaugas pagal integracijos teikimo plano priemones,  dalis nuo visų norinčiųjų</t>
  </si>
  <si>
    <t>Užsienio šalių piliečių, dalyvavusių lietuvių kalbos kursuose, skaičius ir dalis nuo visų norinčiųjų</t>
  </si>
  <si>
    <t>asm.</t>
  </si>
  <si>
    <t>01-03</t>
  </si>
  <si>
    <t>Organizuoti  Savivaldybės veiklos funkcijų įgyvendinimą</t>
  </si>
  <si>
    <t>Patvirtintų pareigybių savivaldybės administracijoje skaičius metų pabaigoje</t>
  </si>
  <si>
    <t>Vidutiniškai vieno darbuotojo dalyvavimas mokymuose (kartais)</t>
  </si>
  <si>
    <t>01-03-01</t>
  </si>
  <si>
    <t>Užtikrinti Savivaldybės administracijos finansinį, ūkinį ir materialinį aptarnavimą</t>
  </si>
  <si>
    <t>Apskaitos skyrius; Bendrųjų reikalų skyrius; Informacinių technologijų poskyris; Veiklos valdymo skyrius; Sporto skyrius</t>
  </si>
  <si>
    <t>Valstybės karjeros tarnautojų (pareigybių) skaičius</t>
  </si>
  <si>
    <t>Darbuotojų dirbančių pagal darbo sutartis (pareigybių) skaičius</t>
  </si>
  <si>
    <t>Įvykdytų planuotų administracijos remonto darbų dalis</t>
  </si>
  <si>
    <t>1.09.</t>
  </si>
  <si>
    <t>Įsigytos kompiuterinės technikos skaičius</t>
  </si>
  <si>
    <t>Įsigytos organizacinės technikos skaičius</t>
  </si>
  <si>
    <t>Įsigytų duomenų saugyklų skaičius</t>
  </si>
  <si>
    <t>Eksploatuojamų kompiuterių skaičius</t>
  </si>
  <si>
    <t>Įsigytų programinės įrangos licencijų skaičius</t>
  </si>
  <si>
    <t>Eksploatuojamų nuosavų transporto priemonių skaičius</t>
  </si>
  <si>
    <t>Kvalifikaciją užsienyje tobulinusių darbuotojų</t>
  </si>
  <si>
    <t>sk.</t>
  </si>
  <si>
    <t>01-03-02</t>
  </si>
  <si>
    <t>Didinti Savivaldybės administracijos darbuotojų kompetencijas ir suteikti naujus įgūdžius</t>
  </si>
  <si>
    <t>Veiklos valdymo skyrius</t>
  </si>
  <si>
    <t>Mokymų dalyvių skaičius</t>
  </si>
  <si>
    <t>01-03-03</t>
  </si>
  <si>
    <t>Užtikrinti Savivaldybės tarybos, Savivaldybės mero ir jo politinio (asmeninio) pasitikėjimo valstybės tarnautojų finansinį, ūkinį ir materialinį aptarnavimą</t>
  </si>
  <si>
    <t>Apskaitos skyrius</t>
  </si>
  <si>
    <t>Įvykusių skelbtų Tarybos, Komitetų, Komisijų posėdžių dalis</t>
  </si>
  <si>
    <t>Laiku paskelbtų ir įvykdytų Tarybos priimtų sprendimų dalis</t>
  </si>
  <si>
    <t>Mero ir Mero politinio (asmeninio) pasitikėjimo valstybės tarnautojų (pareigybių) skaičius</t>
  </si>
  <si>
    <t>01-03-04</t>
  </si>
  <si>
    <t>Užtikrinti Kontrolės ir audito tarnybos finansinį, ūkinį bei materialinį aptarnavimą</t>
  </si>
  <si>
    <t>Savivaldybės kontrolės ir audito tarnyba</t>
  </si>
  <si>
    <t>Atliktų auditų skaičius</t>
  </si>
  <si>
    <t>Kontrolės ir audito tarnybos darbuotojų skaičius</t>
  </si>
  <si>
    <t>01-03-05</t>
  </si>
  <si>
    <t>Užtikrinti Šiaulių apskaitos centro veiklą</t>
  </si>
  <si>
    <t>Viešųjų pirkimų poskyris; Ekonomikos skyrius</t>
  </si>
  <si>
    <t>Užtikrintas centralizuotos apskaitos ir viešųjų pirkimų vykdymas</t>
  </si>
  <si>
    <t>2.03.</t>
  </si>
  <si>
    <t>Savivaldybės BĮ/VŠĮ žaliųjų pirkimų vertės dalis, nuo visų pirkimų (proc.)</t>
  </si>
  <si>
    <t>Supaprastintų rezervuotų pirkimų vertės dalis nuo visų pirkimų (proc.)</t>
  </si>
  <si>
    <t>Pirkimų dalis, kuriuose pirkimų procese nustatomi socialiniai kriterijai (proc.)</t>
  </si>
  <si>
    <t>Savivaldybės BĮ/VŠĮ inovatyvių pirkimų dalis, nuo visų pirkimų</t>
  </si>
  <si>
    <t>Savivaldybės BĮ/VŠĮ pirkimų, kuomet taikoma kokybės kriterijus, vertės dalis nuo visų pirkimų</t>
  </si>
  <si>
    <t>01-03-06</t>
  </si>
  <si>
    <t>Užtikrinti projektų vykdymo priežiūros ir kitas inžinerines paslaugas</t>
  </si>
  <si>
    <t>Statybos ir renovacijos skyrius</t>
  </si>
  <si>
    <t>Patenkinto poreikio dėl projektų vykdymo priežiūros ir kitų inžinerinių paslaugų įgyvendinimo, dalis</t>
  </si>
  <si>
    <t>01-03-07</t>
  </si>
  <si>
    <t>Likviduoti įvykių, ekstremalių įvykių ir situacijų pasekmes (mero rezervas)</t>
  </si>
  <si>
    <t>Civilinės saugos poskyris</t>
  </si>
  <si>
    <t>Likviduotos įvykusių ekstremalių įvykių/situacijų pasekmės</t>
  </si>
  <si>
    <t>01-04</t>
  </si>
  <si>
    <t>Tinkamai įgyvendinti valstybines (perduotas savivaldybei) funkcijas</t>
  </si>
  <si>
    <t>Valstybės deleguotų funkcijų skaičius</t>
  </si>
  <si>
    <t>01-04-01</t>
  </si>
  <si>
    <t>Deklaruoti gyvenamąją vietą</t>
  </si>
  <si>
    <t>1.04.</t>
  </si>
  <si>
    <t>Užtikrintas funkcijos įgyvendinimas</t>
  </si>
  <si>
    <t>01-04-02</t>
  </si>
  <si>
    <t>Teikti duomenis Valstybės registrui</t>
  </si>
  <si>
    <t>Ekonomikos skyrius</t>
  </si>
  <si>
    <t>01-04-03</t>
  </si>
  <si>
    <t>Teikti pirminę teisinę pagalbą</t>
  </si>
  <si>
    <t>Teisės skyrius</t>
  </si>
  <si>
    <t>01-04-04</t>
  </si>
  <si>
    <t>Registruoti civilinės būklės aktus</t>
  </si>
  <si>
    <t>Civilinės metrikacijos skyrius</t>
  </si>
  <si>
    <t>01-04-05</t>
  </si>
  <si>
    <t>Tvarkyti Gyventojų registrą</t>
  </si>
  <si>
    <t>01-04-06</t>
  </si>
  <si>
    <t>Vykdyti valstybinės kalbos vartojimo kontrolę</t>
  </si>
  <si>
    <t>Kultūros skyrius</t>
  </si>
  <si>
    <t>01-04-07</t>
  </si>
  <si>
    <t>Įgyvendinti jaunimo politiką</t>
  </si>
  <si>
    <t>Jaunimo reikalų koordinatorius (patarėjas)</t>
  </si>
  <si>
    <t>01-04-08</t>
  </si>
  <si>
    <t>Tvarkyti archyvinius dokumentus</t>
  </si>
  <si>
    <t>01-04-09</t>
  </si>
  <si>
    <t>Administruoti mobilizaciją</t>
  </si>
  <si>
    <t>Civilinės saugos ir teisėtvarkos skyrius</t>
  </si>
  <si>
    <t>01-04-10</t>
  </si>
  <si>
    <t>Organizuoti civilinę saugą</t>
  </si>
  <si>
    <t>01-04-11</t>
  </si>
  <si>
    <t>Vykdyti žemės ūkio funkcijas</t>
  </si>
  <si>
    <t>Miesto ūkio ir aplinkos skyrius</t>
  </si>
  <si>
    <t>01-04-12</t>
  </si>
  <si>
    <t>Administruoti Užimtumo didinimo programą</t>
  </si>
  <si>
    <t>Socialinių paslaugų skyrius</t>
  </si>
  <si>
    <t>01-04-13</t>
  </si>
  <si>
    <t>Administruoti socialines pašalpas</t>
  </si>
  <si>
    <t>Socialinių išmokų ir kompensacijų skyrius</t>
  </si>
  <si>
    <t>01-04-14</t>
  </si>
  <si>
    <t>Administruoti socialinę paramą mokiniams</t>
  </si>
  <si>
    <t>01-04-15</t>
  </si>
  <si>
    <t>Administruoti socialinę globą</t>
  </si>
  <si>
    <t>01-04-16</t>
  </si>
  <si>
    <t>Administruoti būsto nuomos ar išperkamosios būsto nuomos mokesčių dalies kompensacijas</t>
  </si>
  <si>
    <t>Apskaitos skyrius; Turto valdymo skyrius</t>
  </si>
  <si>
    <t>01-04-17</t>
  </si>
  <si>
    <t>Užtikrinti informacijos apie neveiksnių asmenų būklę persvarstymą</t>
  </si>
  <si>
    <t>Sveikatos skyrius</t>
  </si>
  <si>
    <t>Komisijos priimtų sprendimų kreiptis į teismą skaičius</t>
  </si>
  <si>
    <t>Komisijos inicijuotų asmens būklės peržiūrėjimų skaičius</t>
  </si>
  <si>
    <t>01-04-18</t>
  </si>
  <si>
    <t>Organizuoti tarpinstitucinio bendradarbiavimo koordinatoriaus darbą</t>
  </si>
  <si>
    <t>Apskaitos skyrius; Vyriausiasis specialistas (tarpinstitucinio bendradarbiavimo koordinatorius)</t>
  </si>
  <si>
    <t>01-04-19</t>
  </si>
  <si>
    <t>Atlikti erdvinių duomenų rinkinio tvarkymo funkciją</t>
  </si>
  <si>
    <t>Apskaitos skyrius; Miesto plėtros ir paveldosaugos skyrius</t>
  </si>
  <si>
    <t>Atlikta tvarkymo funkcija</t>
  </si>
  <si>
    <t>01-04-20</t>
  </si>
  <si>
    <t>Vykdyti valstybinės žemės, perduotos Vyriausybės nutarimu, patikėtinio funkciją</t>
  </si>
  <si>
    <t>Žemės valdymo skyrius; Apskaitos skyrius</t>
  </si>
  <si>
    <t>01-04-21</t>
  </si>
  <si>
    <t>Asmenų su negalia reikalų koordinatoriaus pareigybės išlaikymas</t>
  </si>
  <si>
    <t>Apskaitos skyrius; Socialinių paslaugų skyrius</t>
  </si>
  <si>
    <t>01-05</t>
  </si>
  <si>
    <t>Užtikrinti finansinių įsipareigojimų vykdymą</t>
  </si>
  <si>
    <t>Strateginio planavimo ir finansų skyrius</t>
  </si>
  <si>
    <t>Savivaldybės skola (proc. nuo pajamų)</t>
  </si>
  <si>
    <t>01-05-01</t>
  </si>
  <si>
    <t>Vykdyti paskolų grąžinimą, palūkanų už paskolas mokėjimą ir kitus finansinius  įsipareigojimus</t>
  </si>
  <si>
    <t>Pasirašytų paskolų sutarčių</t>
  </si>
  <si>
    <t>Įvykdyti skoliniai įsipareigojimai</t>
  </si>
  <si>
    <t>01-05-02</t>
  </si>
  <si>
    <t>Vykdyti išmokėtos dotacijų dalies savivaldybei grąžinimą</t>
  </si>
  <si>
    <t>Įvykdyti sutartiniai įsipareigojimai</t>
  </si>
  <si>
    <t>01-05-03</t>
  </si>
  <si>
    <t>Užtikrinti Biudžetinių įstaigų finansinį, ūkinį aptarnavimą</t>
  </si>
  <si>
    <t>Apskaitos skyrius; Švietimo skyrius</t>
  </si>
  <si>
    <t>Įvykdyti švietimo įstaigų statinių inžinerinių sistemų avarijų ir jų padarinių šalinimo darbai</t>
  </si>
  <si>
    <t>Apdraustų biudžetinių įstaigų civilinės atsakomybės draudimu skaičius</t>
  </si>
  <si>
    <t>01-06</t>
  </si>
  <si>
    <t>Užtikrinti Savivaldybei nuosavybės teise priklausančio turto tinkamą įregistravimą,  eksploatavimą, renovavimą, remontą ir  saugojimą</t>
  </si>
  <si>
    <t>Turto valdymo skyrius</t>
  </si>
  <si>
    <t>Teisiškai sutvarkytų ir  įregistruotų  nekilnojamojo turto sk.  nuo viso turimo turto, proc.</t>
  </si>
  <si>
    <t>01-06-01</t>
  </si>
  <si>
    <t>Apmokėti pastatų, patalpų ir inžinerinių statinių vertinimo, kadastrinių matavimų atlikimo, teisines registracijos išlaidas</t>
  </si>
  <si>
    <t>Nekilnojamojo turto registre teisiškai įregistruoto turto skaičius</t>
  </si>
  <si>
    <t>01-06-02</t>
  </si>
  <si>
    <t>Padengti Privatizavimo programos vykdymo išlaidas</t>
  </si>
  <si>
    <t>Padengtos išlaidos</t>
  </si>
  <si>
    <t>01-06-03</t>
  </si>
  <si>
    <t>Apmokėti turto, kuris neturi savininko (ar savininkas nežinomas) laikinosios priežiūros ir laikinųjų apsaugos priemonių įrengimo arba griovimo išlaidas</t>
  </si>
  <si>
    <t>Statybos ir renovacijos skyrius; Turto valdymo skyrius</t>
  </si>
  <si>
    <t>Prižiūrimų ir nugriautų objektų skaičius</t>
  </si>
  <si>
    <t>01-06-04</t>
  </si>
  <si>
    <t>Apmokėti Savivaldybei nuosavybės teise priklausančių pastatų, patalpų ir inžinerinių statinių  draudimo, apsaugos, remonto, komunalines ir kitas išlaidas</t>
  </si>
  <si>
    <t>Apmokėtos eksploatavimo išlaidos</t>
  </si>
  <si>
    <t>01-06-05</t>
  </si>
  <si>
    <t>Apmokėti Savivaldybei nuosavybės teise priklausančio nekilnojamojo turto renovacijos išlaidas</t>
  </si>
  <si>
    <t>Apmokėtos renovacijos išlaidos</t>
  </si>
  <si>
    <t>01-06-06</t>
  </si>
  <si>
    <t>Užtikrinti skolų išieškojimą ir skolininkų iškeldinimą iš Savivaldybei nuosavybės teise priklausančių būstų</t>
  </si>
  <si>
    <t>Įvykdytų teismų sprendimų</t>
  </si>
  <si>
    <t>01-06-07</t>
  </si>
  <si>
    <t>Apmokėti Savivaldybei nuosavybės teise priklausančių būstų eksploatavimo, administravimo, kaupimo, nuomos mokesčio surinkimo, komunalinių mokesčių, remonto išlaidas</t>
  </si>
  <si>
    <t>Suremontuotų būstų skaičius</t>
  </si>
  <si>
    <t>Būstų, kuriems apmokamos eksploatavimo išlaidos skaičius</t>
  </si>
  <si>
    <t>01-06-08</t>
  </si>
  <si>
    <t>Kompensuoti daugiabučių namų savininkų bendrijų steigimo išlaidas</t>
  </si>
  <si>
    <t>Bendrijų, kurioms padengtos steigimo išlaidos, skaičius</t>
  </si>
  <si>
    <t>01-06-09</t>
  </si>
  <si>
    <t>Kompensuoti būsto nuomos ar išperkamosios būsto nuomos mokesčių dalį</t>
  </si>
  <si>
    <t>Asmenų ir šeimų, gaunančių būsto nuomos mokesčio dalies kompensaciją, skaičius</t>
  </si>
  <si>
    <t>Rinkoje nuomojamų būstų, kuriems kompensuojamas nuomos mokestis, skaičius</t>
  </si>
  <si>
    <t>02</t>
  </si>
  <si>
    <t>Kultūros programa</t>
  </si>
  <si>
    <t>02-01</t>
  </si>
  <si>
    <t>Stiprinti miesto kultūrinio gyvenimo aktyvumą</t>
  </si>
  <si>
    <t>Kultūros įstaigų lankytojų skaičius:</t>
  </si>
  <si>
    <t>Bibliotekų lankytojų skaičius</t>
  </si>
  <si>
    <t>Muziejų lankytojų skaičius</t>
  </si>
  <si>
    <t>Galerijų lankytojų skaičius</t>
  </si>
  <si>
    <t>Teatrų lankytojų skaičius</t>
  </si>
  <si>
    <t>Koncertų salių lankytojų skaičius</t>
  </si>
  <si>
    <t>Kultūros centrų lankytojų skaičius</t>
  </si>
  <si>
    <t>Naujų užsienio miestų (ir šalių), įtrauktų į ilgalaikę kultūros partnerystę (trunkančią ilgiau kaip 1 m.), skaičius</t>
  </si>
  <si>
    <t>02-01-01</t>
  </si>
  <si>
    <t>Užtikrinti kultūros įstaigų veiklą</t>
  </si>
  <si>
    <t>Kultūros skyrius; Kultūros įstaigos</t>
  </si>
  <si>
    <t>Surengtų parodų skaičius</t>
  </si>
  <si>
    <t>Surengtų renginių skaičius</t>
  </si>
  <si>
    <t>Įgyvendintų projektų skaičius</t>
  </si>
  <si>
    <t>Surengtų edukacijų skaičius</t>
  </si>
  <si>
    <t>2.01.</t>
  </si>
  <si>
    <t>Surengtų ekskursijų skaičius</t>
  </si>
  <si>
    <t>Lankytojų (renginių, parodų, projektų ir kt. lankytojų, žiūrovų, klausytojų, skaitytojų, paslaugų vartotojų ir pan.) skaičius</t>
  </si>
  <si>
    <t>Dalyvių (renginyje / parodoje / koncerte / projekte / festivalyje ir pan. dalyvavusių kūrėjų, atlikėjų, organizatorių, savanorių ir kt.) skaičius</t>
  </si>
  <si>
    <t>Edukacijų dalyvių skaičius</t>
  </si>
  <si>
    <t>Ekskursijų dalyvių skaičius</t>
  </si>
  <si>
    <t>02-01-02</t>
  </si>
  <si>
    <t>Skatinti Šiaulių miesto kultūros ir meno įvairovę, sklaidą, prieinamumą</t>
  </si>
  <si>
    <t>Finansuotų kultūros projektų skaičius</t>
  </si>
  <si>
    <t>02-01-03</t>
  </si>
  <si>
    <t>Skatinti meno kūrėjus</t>
  </si>
  <si>
    <t>Įteiktų premijų ir stipendijų skaičius</t>
  </si>
  <si>
    <t>Pagal parengtą naują Kultūros ir meno kūrėjų stipendijų programą, sukurtų naujų kultūros produktų</t>
  </si>
  <si>
    <t>Pagal parengtą naują Meno (viešose erdvėse) rėmimo programą, sukurtų naujų kultūros produktų</t>
  </si>
  <si>
    <t>Pagal parengtą naują Kultūros ir meno kūrėjų stipendijų programą stipendijas gavusių asmenų asmenų skaičius</t>
  </si>
  <si>
    <t>Pagal parengtą naują Meno (viešose erdvėse) rėmimo programą, programos dalyvių skaičius</t>
  </si>
  <si>
    <t>02-01-04</t>
  </si>
  <si>
    <t>Užtikrinti reprezentacinių Šiaulių miesto festivalių tęstinumą, jų ilgalaikiškumą, dalinį finansavimą, skatinti naujų idėjų, raiškos formų atsiradimą ir raidą</t>
  </si>
  <si>
    <t>Finansuotų festivalių skaičius</t>
  </si>
  <si>
    <t>Kultūros įstaigų suorganizuotų renginių kartu su jaunaisiais meno kūrėjais skaičius</t>
  </si>
  <si>
    <t>Atnaujintų ir / ar naujų kultūros paslaugų skaičius tautinėms mažumoms pavaldžiose kultūros įstaigose</t>
  </si>
  <si>
    <t>Įgyvendintų kultūros įstaigų projektų, skirtų socialinę ir kultūrinę atskirtį patiriantiems gyventojams, skaičius</t>
  </si>
  <si>
    <t>02-01-05</t>
  </si>
  <si>
    <t>Koordinuoti valstybinių švenčių, atmintinų dienų paminėjimą, svarbių renginių, plenerų organizavimą, puoselėti tautines tradicijas</t>
  </si>
  <si>
    <t>Surengtų miesto, valstybinių, kalendorinių švenčių ir atmintinų dienų minėjimų skaičius</t>
  </si>
  <si>
    <t>Įgyvendintų Tolygios kultūrinės raidos programos projektų, papildomų kultūros priemonių skaičius</t>
  </si>
  <si>
    <t>Atminimo ženklų sukūrimo ir gamybos paslaugų skaičius</t>
  </si>
  <si>
    <t>Suorganizuotų Europos paveldo dienų renginių ciklų skaičius</t>
  </si>
  <si>
    <t>02-01-07</t>
  </si>
  <si>
    <t>Įgyvendinti kultūros priemonės miesto įvaizdžiui gerinti</t>
  </si>
  <si>
    <t>Kultūros priemonių, miesto įvaizdžiui gerinti, skaičius</t>
  </si>
  <si>
    <t>02-01-08</t>
  </si>
  <si>
    <t>Plėtoti kultūros paveldo apskaitą</t>
  </si>
  <si>
    <t>Miesto plėtros ir paveldosaugos skyrius</t>
  </si>
  <si>
    <t>Įgyvendintų kultūros paveldo apskaitos priemonių skaičius</t>
  </si>
  <si>
    <t>02-02</t>
  </si>
  <si>
    <t>Išvystyti gyventojų poreikius atitinkančią kultūros įstaigų infrastruktūrą</t>
  </si>
  <si>
    <t>Kultūros įstaigų pastatų, kurie yra geros būklės, skaičius nuo visų kultūros įstaigų pastatų</t>
  </si>
  <si>
    <t>02-02-01</t>
  </si>
  <si>
    <t>Atnaujinti (modernizuoti) Šiaulių miesto koncertinę įstaigą „Saulė" (Tilžės g. 140), rekonstruoti pastatą</t>
  </si>
  <si>
    <t>Kultūros skyrius; Šiaulių miesto koncertinė įstaiga „Saulė“</t>
  </si>
  <si>
    <t>Parengta techninė dokumentacija</t>
  </si>
  <si>
    <t>Atlikta senosios pastato dalies administracinių ir techninių patalpų remonto darbų dalis</t>
  </si>
  <si>
    <t>Atlikta pastato fasado (nuo Tilžės g.) ir laiptų remonto dalis</t>
  </si>
  <si>
    <t>02-02-03</t>
  </si>
  <si>
    <t>Didinti Šiaulių miesto kultūros centro „Laiptų galerija pastato“ (Žemaitės g. 83) funkcionalumą“</t>
  </si>
  <si>
    <t>Statybos ir renovacijos skyrius; Kultūros skyrius; Miesto plėtros ir paveldosaugos skyrius</t>
  </si>
  <si>
    <t>Atlikta planuotų darbų dalis</t>
  </si>
  <si>
    <t>02-02-04</t>
  </si>
  <si>
    <t>Atnaujinti (modernizuoti) Šiaulių dailės galerijos pastatą / patalpas (Vilniaus g. 245)</t>
  </si>
  <si>
    <t>Kultūros skyrius; Šiaulių dailės galerija</t>
  </si>
  <si>
    <t>Atlikta ekspozicinių salių rekonstrukcijos, remonto ir pritaikymo multifunkciniams tikslams darbų dalis</t>
  </si>
  <si>
    <t>Atlikta kasos, holo ir informacinio centro rekonstrukcijos, remonto ir rūbinės įrengimo darbų dalis</t>
  </si>
  <si>
    <t>02-02-05</t>
  </si>
  <si>
    <t>Didinti Šiaulių kultūros centro Rėkyvos kultūros namų funkcionalumą</t>
  </si>
  <si>
    <t>Statybos ir renovacijos skyrius; Kultūros skyrius; Viešųjų investicijų skyrius; Šiaulių kultūros centras</t>
  </si>
  <si>
    <t>Atlikta teritorijos sutvarkymo darbų dalis</t>
  </si>
  <si>
    <t>Atlikta daugiafunkcės erdvės įkūrimo darbų dalis</t>
  </si>
  <si>
    <t>Atlikta energinio efektyvumo didinimo rangos darbų dalis</t>
  </si>
  <si>
    <t>02-02-06</t>
  </si>
  <si>
    <t>Modernizuoti kultūros įstaigų pastatus / statinius / patalpas</t>
  </si>
  <si>
    <t>Kultūros skyrius; Šiaulių miesto savivaldybės viešoji biblioteka; Šiaulių kultūros centras</t>
  </si>
  <si>
    <t>Įrengtas neįgaliųjų pandusas Šiaulių miesto savivaldybės viešosios bibliotekos Lieporių filiale (Tilžės g. 36 Šiauliai)</t>
  </si>
  <si>
    <t>Įkurta išmanioji erdvė Šiaulių miesto savivaldybės viešosios bibliotekos Lieporių filiale (Tilžės g. 36 Šiauliai)</t>
  </si>
  <si>
    <t>Įsigytas lauko įgarsinimo ir apšvietimo įrangos komplektas</t>
  </si>
  <si>
    <t>02-02-07</t>
  </si>
  <si>
    <t xml:space="preserve">Sudaryti sąlygas saugoti, įveiklinti miesto nekilnojamąjį kultūros paveldą </t>
  </si>
  <si>
    <t>Sutvarkytų kultūros paveldo objektų skaičius</t>
  </si>
  <si>
    <t>Suprojektuotų, pagamintų ir sumontuotų informacinių stovų (stendų), prie Šiaulių m. memorialinių objektų – neveikiančių kapinių, skaičius</t>
  </si>
  <si>
    <t>Įvykdyti Antrojo pasaulinio karo Sovietų Sąjungos karių palaikų perkėlimo darbus</t>
  </si>
  <si>
    <t>03</t>
  </si>
  <si>
    <t>Aplinkos apsaugos programa</t>
  </si>
  <si>
    <t>03-01</t>
  </si>
  <si>
    <t>Mažinti aplinkos taršą ir kurti miesto ekosistemą, siekiant didinti atsparumą klimato kaitos padariniams</t>
  </si>
  <si>
    <t>Atsinaujinančių išteklių dalis pagal savivaldybės energijos balansą</t>
  </si>
  <si>
    <t>Gyventojų dalis, kurių būstai veikiami padidinto triukšmo lygio, nuo visų gyventojų skaičiaus</t>
  </si>
  <si>
    <t>Kietųjų dalelių dydis 1m3</t>
  </si>
  <si>
    <t>mg</t>
  </si>
  <si>
    <t>Bendras viešųjų atskirųjų želdynų plotas, tenkantis vienam miesto gyventojui</t>
  </si>
  <si>
    <t>kv.m.</t>
  </si>
  <si>
    <t>03-01-01</t>
  </si>
  <si>
    <t>Užtikrinti Šiaulių municipalinės aplinkos tyrimų laboratorijos veiklą</t>
  </si>
  <si>
    <t>Miesto ūkio ir aplinkos skyrius; Šiaulių municipalinė aplinkos tyrimų laboratorija</t>
  </si>
  <si>
    <t>Atlikta aplinkos stebėsena ir parengta ataskaita</t>
  </si>
  <si>
    <t>Patobulinta aplinkos monitoringo sistema</t>
  </si>
  <si>
    <t>03-01-02</t>
  </si>
  <si>
    <t>Išsaugoti biologinę įvairovę</t>
  </si>
  <si>
    <t>1.11.</t>
  </si>
  <si>
    <t>Įrengtų želdinių juostų šalia gatvių, pėsčiųjų ir dviračių takų ilgis</t>
  </si>
  <si>
    <t>m</t>
  </si>
  <si>
    <t>Įregistruotų atskirųjų želdynų sklypų plotas</t>
  </si>
  <si>
    <t>ha</t>
  </si>
  <si>
    <t>Naujai įrengtų atskirųjų želdynų, pritaikytų naudoti visais metų laikais, skaičius</t>
  </si>
  <si>
    <t>Įdiegtų natūralių ir pusiau natūralių pievų želdynuose plotas</t>
  </si>
  <si>
    <t>Sunaikintas Sosnovskio barščių kiekis</t>
  </si>
  <si>
    <t>m2</t>
  </si>
  <si>
    <t>Pasodintų želdinių skaičius</t>
  </si>
  <si>
    <t>03-01-03</t>
  </si>
  <si>
    <t>Vykdyti želdinių ir miškų priežiūrą</t>
  </si>
  <si>
    <t>Užtikrinta želdinių priežiūra (genėjimas, atžalų šalinimas, kelmų sutvarkymas, laistymas, tręšimas, kaštonų lapų surinkimas), pagal skirtą finansavimą</t>
  </si>
  <si>
    <t>Išvalytų vandens telkinių pakrančių plotas nuo perteklinių vandens augalų</t>
  </si>
  <si>
    <t>Robotizuotai prižiūrimų želdynų ploto dalis nuo viso želdynų ploto</t>
  </si>
  <si>
    <t>03-01-04</t>
  </si>
  <si>
    <t>Vykdyti paviršinių vandens telkinių ir lietaus nuotekų sistemos priežiūrą</t>
  </si>
  <si>
    <t>Sutvarkytų lietaus sistemos griovių skaičius</t>
  </si>
  <si>
    <t>Inventorizuotų griovių, kadastrinių matavimų įregistravimų NTR dalis nuo visų griovių</t>
  </si>
  <si>
    <t>03-01-05</t>
  </si>
  <si>
    <t>Įgyvendinti aplinkos oro kokybės valdymo programos priemones, vykdyti aplinkos kokybės stebėseną</t>
  </si>
  <si>
    <t>Išvalyta gatvių nuo pavasarinio purvo dėl pakeltosios taršos</t>
  </si>
  <si>
    <t>km</t>
  </si>
  <si>
    <t>Įdiegta mažos taršos zonos dalis nuo visos zonos</t>
  </si>
  <si>
    <t>Žvyruotų gatvių ilgis, kurios apdorojamos dulkėtumą mažinančiomis medžiagomis</t>
  </si>
  <si>
    <t>Parengta požeminio vandens ir dirvožemio ataskaita (bei atlikti tyrimai stebimose Šiaulių miesto vietose)</t>
  </si>
  <si>
    <t>03-01-06</t>
  </si>
  <si>
    <t>Likviduoti pavojingus radinius ir ekologinių avarijų padarinius</t>
  </si>
  <si>
    <t>Miesto ūkio ir aplinkos skyrius; Civilinės saugos ir teisėtvarkos skyrius</t>
  </si>
  <si>
    <t>Likviduotų radinių ir avarijų dalis nuo visų reikiamų likviduoti</t>
  </si>
  <si>
    <t>03-01-07</t>
  </si>
  <si>
    <t>Įgyvendinti gyvūnų gerovės priemones</t>
  </si>
  <si>
    <t>Suremontuotų ir prižiūrėtų šunų vedžiojimo ir kačių šėrimo aikštelių skaičius</t>
  </si>
  <si>
    <t>Veterinarinių paslaugų skaičius</t>
  </si>
  <si>
    <t>03-01-08</t>
  </si>
  <si>
    <t>Didinti gyventojų ir organizacijų supratimą apie žiedinę ekonomiką ir skatinti sąmoningumą, siekiant gyventi tvariau</t>
  </si>
  <si>
    <t>Paremtų NVO projektų skaičius</t>
  </si>
  <si>
    <t>Įsigytų leidinių skaičius</t>
  </si>
  <si>
    <t>Suorganizuotų renginių (Žemės diena, Europos judumo savaitė) skaičius</t>
  </si>
  <si>
    <t>Įgyvendintų visuomenės švietimo ir informavimo priemonių skaičius</t>
  </si>
  <si>
    <t>03-02</t>
  </si>
  <si>
    <t>Taikyti žiedinės ekonomikos principus komunalinių atliekų tvarkyme</t>
  </si>
  <si>
    <t>Sąvartynuose šalinamų komunalinių atliekų dalis nuo visų susidariusių komunalinių atliekų</t>
  </si>
  <si>
    <t>Atliekų, tenkančių vienam gyventojui, kiekis</t>
  </si>
  <si>
    <t>kg</t>
  </si>
  <si>
    <t>03-02-01</t>
  </si>
  <si>
    <t>Skatinti komunalinių atliekų rūšiuojamąjį surinkimą</t>
  </si>
  <si>
    <t>Miesto ūkio ir aplinkos skyrius; VŠĮ Šiaulių regiono atliekų tvarkymo centras</t>
  </si>
  <si>
    <t>Sutvarkytas komunalinių atliekų kiekis</t>
  </si>
  <si>
    <t>t</t>
  </si>
  <si>
    <t>Išrūšiuotų (atskirai surinktų), atliekų dalis nuo visų komunalinių atliekų</t>
  </si>
  <si>
    <t>04</t>
  </si>
  <si>
    <t>Urbanistinės plėtros ir infrastruktūros programa</t>
  </si>
  <si>
    <t>Miesto ūkio ir aplinkos skyrius; Architektūros skyrius</t>
  </si>
  <si>
    <t>04-01</t>
  </si>
  <si>
    <t>Kompleksiškai planuoti gyvybingą ir nuoseklią miesto struktūrą</t>
  </si>
  <si>
    <t>Architektūros skyrius</t>
  </si>
  <si>
    <t>Kompleksiniais teritorijų planavimo dokumentais naujai suplanuotų teritorijų bendras plotas, palyginti su bendru miesto urbanizuotų teritorijų plotu</t>
  </si>
  <si>
    <t>04-01-01</t>
  </si>
  <si>
    <t>Koreguoti Šiaulių miesto savivaldybės teritorijos bendrąjį planą</t>
  </si>
  <si>
    <t>Atliktas Bendrojo plano pakeitimas</t>
  </si>
  <si>
    <t>Parengtas Šiaulių miesto bendrojo plano koregavimas teritorijose tarp Trumpiškių, Bačiūnų, Pramonės g. ir želdynų ploto bei Šiaulių miesto administracinės ribos, Lingailių g., sklypo, kurio kadastro Nr. 2901/8001:0007, ir Bačiūnų g.</t>
  </si>
  <si>
    <t>04-01-02</t>
  </si>
  <si>
    <t>Organizuoti detaliųjų ir specialiųjų planų parengimą</t>
  </si>
  <si>
    <t>Parengtų detaliųjų ir specialiųjų planų skaičius</t>
  </si>
  <si>
    <t>Parengtas Prisikėlimo aikštės su prieigomis detaliojo plano keitimas</t>
  </si>
  <si>
    <t>Atliktas žemės sklypo J. Žemaičio g. 3, Šiauliuose detaliojo plano keitimas</t>
  </si>
  <si>
    <t>Atliktas supaprastinta tvarka parengto žemės sklypo Pramonės g. 15, Šiauliuose detaliojo plano koregavimas</t>
  </si>
  <si>
    <t>Įvykdytas supaprastinta tvarka parengto žemės sklypo Tilžės g. 74A, Šiauliuose, detaliojo plano koregavimas</t>
  </si>
  <si>
    <t>Parengtas Daušiškių kapinių detaliojo plano koregavimas</t>
  </si>
  <si>
    <t>Jei atsiras poreikis su konkrečiu spec. plano parengimo pavadinimu</t>
  </si>
  <si>
    <t>Parengtas Teritorijos tarp Aušros al., Žemaitės, Dobilo ir Vaisių g. (Centrinio parko) Šiaulių mieste detaliojo plano keitimas</t>
  </si>
  <si>
    <t>Atliktas supaprastinta tvarka parengto detaliojo plano sklypo Marijampolės g.22 keitimas</t>
  </si>
  <si>
    <t>Atliktas supaprastinta tvarka parengto detalaus plano teritorijos Architektų g.1, Šiauliuose  koregavimas</t>
  </si>
  <si>
    <t>Parengtas kvartalo, esančio tarp Perkūno, Sprudeikos g. ir Aukštabalio g. tęsinio, detalusis planas</t>
  </si>
  <si>
    <t>Parengtas Salduvės parko teritorijos Šiauliuose detalusis planas</t>
  </si>
  <si>
    <t>Žemės sklypų Lyros g. 13, Lyros g. 13B, Šiauliuose, ir šalia šių sklypų esančios laisvos valstybinės žemės detaliojo plano rengimas</t>
  </si>
  <si>
    <t>Teritorijos, esančios tarp Gytarių g., Javų g., Pailių g. ir Ringuvos g. sklypų Nr. 1-29, Šiauliuose, detaliojo plano rengimo paslauga</t>
  </si>
  <si>
    <t>Teritorijos tarp Gardino, Architektų, Aukštabalio (dabar – Jablonskio) g. ir Lieporių gyvenamojo kvartalo detaliojo plano koregavimas</t>
  </si>
  <si>
    <t>Talkšos ir jo prieigų, Ežero gyvenamojo rajono bei teritorijos Vilniaus g. 72, Šiauliuose, detaliojo plano koregavimas</t>
  </si>
  <si>
    <t>Žemės sklypo Pakruojo g. 10, Šiauliuose, detaliojo plano keitimo rengimas</t>
  </si>
  <si>
    <t>Zoknių gyvenamojo  rajono Šiauliuose, detaliojo plano koregavimas</t>
  </si>
  <si>
    <t>Teritorijos esančios tarpVoveriškių g., Tilžės g. ir Vijolės upelio, Šiauliuose detalusis planas</t>
  </si>
  <si>
    <t>Teritorijos, esančios tarp Žaliūkių g., Voveriškių g., ir Vijolės upelio, Šiauliuose, detalusis planas</t>
  </si>
  <si>
    <t>Teritorijos, esančios tarp Vytauto g., Ežero g. ir Vilniaus g., Šiauliuose, detaliojo plano rengimas</t>
  </si>
  <si>
    <t>Teritorijos, esančios tarp Vilniaus g., Vilniaus g. 96 Trakų g. ir Ežero g., Šiauliuose, detaliojo plano rengimas</t>
  </si>
  <si>
    <t>04-01-03</t>
  </si>
  <si>
    <t>Įgyvendinti  žemės paėmimo visuomenės poreikiams procedūrą</t>
  </si>
  <si>
    <t>Žemės valdymo skyrius</t>
  </si>
  <si>
    <t>Įgyvendinta žemės paėmimo visuomenės poreikiams procedūra, paimtas žemės sklypas visuomenės poreikiams</t>
  </si>
  <si>
    <t>Parengta sąnaudų naudos analizė</t>
  </si>
  <si>
    <t>04-01-04</t>
  </si>
  <si>
    <t>Rengti žemėtvarkos planavimo dokumentus, žemės sklypų kadastrinius matavimus</t>
  </si>
  <si>
    <t>Parengtų kadastrinių matavimų bylų, žemės sklypų pertvarkymo projektų skaičius</t>
  </si>
  <si>
    <t>04-01-05</t>
  </si>
  <si>
    <t>Užtikrini tvarų, miesto identitetą pabrėžiantį miesto planavimą</t>
  </si>
  <si>
    <t>Miesto plėtros ir paveldosaugos skyrius; Architektūros skyrius</t>
  </si>
  <si>
    <t>Urbanistinių ir architektūrinių vizijų / koncepcijų / planų skaičius</t>
  </si>
  <si>
    <t>Įgyvendintas paminklo "Tautos laisvė" projektas</t>
  </si>
  <si>
    <t>Atnaujintų miesto vartų ženklų, remiantis miesto identiteto simbolika, skaičius</t>
  </si>
  <si>
    <t>Sukurta miesto vizualinio identiteto strategija, išryškinanti miesto identitetą, jį skatinančių, vizualinių, meninių priemonių / objektų, akcentų naudojimą</t>
  </si>
  <si>
    <t>Suorganizuotų urbanistinių ar architektūrinių konkursų skaičius</t>
  </si>
  <si>
    <t>04-01-06</t>
  </si>
  <si>
    <t>Organizuoti projektinių darbų finansavimą</t>
  </si>
  <si>
    <t>Statybos ir renovacijos skyrius; Miesto ūkio ir aplinkos skyrius; Miesto plėtros ir paveldosaugos skyrius</t>
  </si>
  <si>
    <t>Miesto plėtros ir paveldosaugos skyriaus parengtų techninių projektų skaičius</t>
  </si>
  <si>
    <t>Statybos ir renovacijos skyriaus parengtų statybos projektų skaičius</t>
  </si>
  <si>
    <t>Miesto ūkio ir aplinkos skyriaus parengtų techninių projektų skaičius</t>
  </si>
  <si>
    <t>04-01-07</t>
  </si>
  <si>
    <t>Konvertuoti centro teritorijoje esančių pramoninių kompleksų teritorijas į mišrios paskirties miesto teritorijas</t>
  </si>
  <si>
    <t>Parengtų kompleksinių teritorijų planavimo dokumentų, kuriuose numatyta pramoninių teritorijų konversija, skaičius</t>
  </si>
  <si>
    <t>Urbanistinių / architektūrinių konkursų konversinėse teritorijose skaičius</t>
  </si>
  <si>
    <t>04-01-08</t>
  </si>
  <si>
    <t>Planuoti naują plėtrą centrinėse, gerai aprūpintose miesto teritorijose ir skatinti mažaaukštės, bet tankios tipologijos atsiradimą (kotedžai)</t>
  </si>
  <si>
    <t>Naujų statybos leidimų skaičius senamiestyje, miesto periferiniuose centruose, gyvenamosiose didelio užstatymo intensyvumo teritorijose ir kitose didelio užstatymo teritorijose</t>
  </si>
  <si>
    <t>Kompleksinių teritorijų planavimo dokumentais naujai suplanuotas plotas senamiestyje, miesto periferiniuose centruose, gyvenamosiose didelio užstatymo intensyvumo teritorijose ir kitose didelio užstatymo teritorijose</t>
  </si>
  <si>
    <t>Mažaaukštės, bei tankios tipologijos (kotedžai) teritorijų planavimo dokumentais suplanuotas plotas</t>
  </si>
  <si>
    <t>04-01-09</t>
  </si>
  <si>
    <t>Organizuoti miesto erdvinių duomenų bazės techninę priežiūrą, programinės įrangos atnaujinimą</t>
  </si>
  <si>
    <t>Atnaujintos programinės įrangos skaičius</t>
  </si>
  <si>
    <t>04-01-10</t>
  </si>
  <si>
    <t>Organizuoti Šiaulių miesto savivaldybės geodezijos ir kartografijos darbus</t>
  </si>
  <si>
    <t>Parengtų topografinių planų skaičius</t>
  </si>
  <si>
    <t>04-01-11</t>
  </si>
  <si>
    <t>Įgyvendinti projektą „Šiaulių miesto miškų sklypų suformavimas ir įregistravimas nekilnojamo turto registre“</t>
  </si>
  <si>
    <t>Viešųjų investicijų skyrius; Žemės valdymo skyrius</t>
  </si>
  <si>
    <t>Suformuotų ir įregistruotų miesto miškų sklypų</t>
  </si>
  <si>
    <t>04-02</t>
  </si>
  <si>
    <t>Formuoti darnias miesto jungtis, užtikrinančias tvarų ir saugų judėjimą mieste</t>
  </si>
  <si>
    <t>Neasfaltuotų gatvių dalis nuo viso gatvių tinklo</t>
  </si>
  <si>
    <t>Atnaujintų pėsčiųjų takų dalis nuo bendro takų ilgio</t>
  </si>
  <si>
    <t>Dviračių takų ilgis metų pabaigoje, tenkantis 1 tūkst. gyventojų</t>
  </si>
  <si>
    <t>Modalinis kelionių pasiskirstymas (automobiliu)</t>
  </si>
  <si>
    <t>Modalinis kelionių pasiskirstymas (viešuoju transportu)</t>
  </si>
  <si>
    <t>Modalinis kelionių pasiskirstymas (dviračiais)</t>
  </si>
  <si>
    <t>Modalinis kelionių pasiskirstymas (pėsčiomis)</t>
  </si>
  <si>
    <t>Vidutiniškai vienam gyventojui tenkančių kelionių autobusais skaičius</t>
  </si>
  <si>
    <t>04-02-01</t>
  </si>
  <si>
    <t>Vykdyti gatvių, aikštelių, šaligatvių, dviračių ir pėsčiųjų takų remonto ir aptarnavimo darbus</t>
  </si>
  <si>
    <t>Miesto ūkio ir aplinkos skyrius; Medelyno seniūnija; Rėkyvos seniūnija</t>
  </si>
  <si>
    <t>Prižiūrimų mokėjimo parkomatų skaičius</t>
  </si>
  <si>
    <t>1.06.</t>
  </si>
  <si>
    <t>Užtaisytas miesto gatvių (duobių išdaužų vietose) plotas</t>
  </si>
  <si>
    <t>Prižiūrimų gatvių su žvyro danga ilgis</t>
  </si>
  <si>
    <t>Paženklintų gatvių su asfalto danga, pėsčiųjų perėjų, sankryžų plotas</t>
  </si>
  <si>
    <t>04-02-02</t>
  </si>
  <si>
    <t>Vykdyti naujų magistralinių gatvių suprojektavimo ir nutiesimo, susisiekimo komunikacijų įrengimo, rekonstravimo ir remonto darbus</t>
  </si>
  <si>
    <t>Statybos ir renovacijos skyrius; Miesto plėtros ir paveldosaugos skyrius</t>
  </si>
  <si>
    <t>Infr. PP</t>
  </si>
  <si>
    <t>Atlikti miesto gatvių remonto darbai pagal 2025-2027 m. reitingo eilę</t>
  </si>
  <si>
    <t>04-02-03</t>
  </si>
  <si>
    <t>Įgyvendinti projektą „Eismo saugos gerinimas Šiaulių mieste, šalinant juodąsias dėmes“</t>
  </si>
  <si>
    <t>Miesto ūkio ir aplinkos skyrius; Viešųjų investicijų skyrius</t>
  </si>
  <si>
    <t>Įdiegtų saugų eismą gerinančių priemonių skaičius</t>
  </si>
  <si>
    <t>04-02-04</t>
  </si>
  <si>
    <t>Įgyvendinti darnaus judumo projektus Šiaulių mieste</t>
  </si>
  <si>
    <t>Įrengtų / rekonstruotų dviračių takų ilgis</t>
  </si>
  <si>
    <t>Atnaujintų / nutiestų pėsčiųjų takų ir šaligatvių ilgis</t>
  </si>
  <si>
    <t>Atlikta „Statyk ir važiuok“ aikštelių įrengimo darbų</t>
  </si>
  <si>
    <t>Įrengta „Statyk ir važiuok“ aikštelių</t>
  </si>
  <si>
    <t>04-02-05</t>
  </si>
  <si>
    <t>Vykdyti ir kompensuoti keleivių vežimą</t>
  </si>
  <si>
    <t>Miesto ūkio ir aplinkos skyrius; Ekonomikos skyrius</t>
  </si>
  <si>
    <t>Sutartinių įsipareigojimų vykdymas</t>
  </si>
  <si>
    <t>04-02-06</t>
  </si>
  <si>
    <t>Gerinti viešojo transporto kokybę</t>
  </si>
  <si>
    <t>Miesto ūkio ir aplinkos skyrius; Ekonomikos skyrius; Teisės skyrius; Viešųjų investicijų skyrius; Informacinių technologijų poskyris</t>
  </si>
  <si>
    <t>Įrengtų miesto autobusų stoginių</t>
  </si>
  <si>
    <t>Pakeistų naujais susidėvėjusių suoliukų skaičius</t>
  </si>
  <si>
    <t>Stotelių su išmaniomis informacinėmis sistemomis skaičius</t>
  </si>
  <si>
    <t>Multimodalinių stotelių skaičius</t>
  </si>
  <si>
    <t>Parengti E-bilieto sistemos nuostatai</t>
  </si>
  <si>
    <t>Įdiegta E-bilieto sistema</t>
  </si>
  <si>
    <t>04-02-07</t>
  </si>
  <si>
    <t>Suprojektuoti, nutiesti, išasfaltuoti ar rekonstruoti žvyruotas gatves</t>
  </si>
  <si>
    <t>Išasfaltuotų ir įrengtų žvyruotų gatvių skaičius</t>
  </si>
  <si>
    <t>Išasfaltuotų žvyruotų gatvių ilgis</t>
  </si>
  <si>
    <t>Įrengtų naujų gatvių su patobulinta danga ilgis</t>
  </si>
  <si>
    <t>04-02-08</t>
  </si>
  <si>
    <t>Rekonstruoti Tilžės g. viaduką per geležinkelį</t>
  </si>
  <si>
    <t>Atlikta Tilžės g. viaduko rekonstravimo darbų</t>
  </si>
  <si>
    <t>04-02-09</t>
  </si>
  <si>
    <t>Plėsti saugumą didinančių priemonių kiekį mieste</t>
  </si>
  <si>
    <t>Miesto ūkio ir aplinkos skyrius; Miesto koordinavimo skyrius</t>
  </si>
  <si>
    <t>Viešųjų vietų vaizdo stebėjimo kamerų skaičius</t>
  </si>
  <si>
    <t>Įrengtų saugių pėsčiųjų perėjų skaičius</t>
  </si>
  <si>
    <t>Atnaujintų / įrengtų sankryžų, kuriose numatytos saugos priemonės, skaičius</t>
  </si>
  <si>
    <t>Įrengtų saugumo kalnelių skaičius</t>
  </si>
  <si>
    <t>Įrengtų kelio ženklų, atitvarų, signalinių stulpelių skaičius</t>
  </si>
  <si>
    <t>Aptarnaujamų šviesos taškų (šviestuvų, prožektorių) skaičius</t>
  </si>
  <si>
    <t>Valdomų šviesoforų skaičius</t>
  </si>
  <si>
    <t>Prižiūrimų kelio ženklų skaičius</t>
  </si>
  <si>
    <t>Sunaudotas elektros energijos miesto apšvietimui kiekis</t>
  </si>
  <si>
    <t>kWh</t>
  </si>
  <si>
    <t>Įdiegtos Viešųjų vietų vaizdo stebėjimo sistemos funkcionalumą užtikrinančios įrangos tipų, kuriems užtikrinamas palaikymas, skaičius</t>
  </si>
  <si>
    <t>Viešųjų vietų vaizdo stebėjimo sistemos funkcionalumą užtikrinančios naujos  įrangos tipų skaičius</t>
  </si>
  <si>
    <t>04-02-10</t>
  </si>
  <si>
    <t>Plėtoti elektromobilių pakrovimo stotelių tinklą</t>
  </si>
  <si>
    <t>Viešų elektromobilių pakrovimo stotelių skaičius</t>
  </si>
  <si>
    <t>04-03</t>
  </si>
  <si>
    <t>Užtikrinti tvarią, kokybišką miesto infrastruktūros plėtrą</t>
  </si>
  <si>
    <t>Renovuotų daugiabučių dalis nuo visų renovuotinų daugiabučių</t>
  </si>
  <si>
    <t>Naujai suplanuotų / atnaujintų viešųjų erdvių plotas 1 gyventojui</t>
  </si>
  <si>
    <t>04-03-01</t>
  </si>
  <si>
    <t>Tvarkyti aplinką ir vykdyti priežiūros darbus</t>
  </si>
  <si>
    <t>Sutvarkyta aplinka (žaliųjų plotų, gėlynų, benamių gyvūnų, vaikų žaidimo aikštelių priežiūra, sanitarinių paslaugų teikimas, techniškas aptarnavimas miesto renginių metu)</t>
  </si>
  <si>
    <t>04-03-02</t>
  </si>
  <si>
    <t>Vykdyti kapinių priežiūrą ir ritualines paslaugas</t>
  </si>
  <si>
    <t>Užtikrinta visų miesto kapinių priežiūra (administravimas, vandens vežimas, atliekų išvežimas ir kt.)</t>
  </si>
  <si>
    <t>Suremontuota Donelaičio kapinių tvora</t>
  </si>
  <si>
    <t>Palaidotų vienišų žmonių skaičius</t>
  </si>
  <si>
    <t>Pervežtų žmonių palaikų skaičius</t>
  </si>
  <si>
    <t>04-03-08</t>
  </si>
  <si>
    <t>Įgyvendinti projektą „Lieporių parko atgaivinimas ir pritaikymas bendruomenės veiklai“</t>
  </si>
  <si>
    <t>Atlikta kompleksinio parko sutvarkymo rangos darbų dalis</t>
  </si>
  <si>
    <t>04-03-09</t>
  </si>
  <si>
    <t>Įgyvendinti projektą „Tankiai apgyvendintos Šiaulių miesto urbanizuotos teritorijos atgaivinimas, žalinimas ir funkcionalumo didinimas“</t>
  </si>
  <si>
    <t>Atlikta rangos darbų dalis</t>
  </si>
  <si>
    <t>Parengta teritorijų planavimo dokumentų</t>
  </si>
  <si>
    <t>04-03-10</t>
  </si>
  <si>
    <t>Kompleksiškai atnaujinti mikrorajonų (laisvo planavimo daugiabučių teritorijos) teritorijas, suplanuojant nuoseklų žalių erdvių ir pėsčiųjų takų tinklą, užtikrinant tvarų judėjimą, monofunkciškumo mažinimą ir skatinti naujų būsto tipologijų atsiradimą</t>
  </si>
  <si>
    <t>Atnaujintų mikrorajonų bendrojo naudojimo erdvių ir kiemų plotas</t>
  </si>
  <si>
    <t>Renovuotų daugiabučių skaičius</t>
  </si>
  <si>
    <t>Naujų statybos leidimų mikrorajonuose skaičius</t>
  </si>
  <si>
    <t>04-03-11</t>
  </si>
  <si>
    <t>Įgyvendinti Savivaldybės infrastruktūros plėtros rėmimo programą</t>
  </si>
  <si>
    <t>Sukurtų infrastruktūros objektų (pasirašyta savivaldybės infrastruktūros plėtros sutarčių) skaičius</t>
  </si>
  <si>
    <t>05</t>
  </si>
  <si>
    <t>Ekonominės plėtros programa</t>
  </si>
  <si>
    <t>05-01</t>
  </si>
  <si>
    <t>Pagerinti investicijų pritraukimo ir verslo plėtros sąlygas</t>
  </si>
  <si>
    <t>Tiesioginės užsienio investicijos (TUI), tenkančios 1 gyv.</t>
  </si>
  <si>
    <t>Registruotų bedarbių ir darbingo amžiaus gyventojų santykis</t>
  </si>
  <si>
    <t>Veikiančių įmonių metų pradžioje skaičius, tenkantis 1 tūkst. gyv.</t>
  </si>
  <si>
    <t>05-01-01</t>
  </si>
  <si>
    <t>Skatinti smulkiojo ir vidutinio verslo subjektus</t>
  </si>
  <si>
    <t>Įgyvendintų skatinimo priemonių skaičius</t>
  </si>
  <si>
    <t>05-01-02</t>
  </si>
  <si>
    <t>Įgyvendinti verslo subjektų mokymo programas</t>
  </si>
  <si>
    <t>Surengtų mokymų skaičius</t>
  </si>
  <si>
    <t>Suorganizuotų verslo sklaidos renginių skaičius</t>
  </si>
  <si>
    <t>Suteiktų konsultacijų trukmė</t>
  </si>
  <si>
    <t>val.</t>
  </si>
  <si>
    <t>05-01-03</t>
  </si>
  <si>
    <t>Įgyvendinti jaunimo verslumo skatinimo programą</t>
  </si>
  <si>
    <t>Konsultuotų asmenų skaičius</t>
  </si>
  <si>
    <t>Suorganizuotų verslumo mokymo ir verslo informacinės sklaidos renginių skaičius</t>
  </si>
  <si>
    <t>05-01-04</t>
  </si>
  <si>
    <t>Įgyvendinti inkubavimo, konsultavimo, mentorystės ir tinklaveikos programų vystymą, skatinant pradedančiųjų smulkiojo ir vidutinio verslo subjektų kūrimąsi ir augimą</t>
  </si>
  <si>
    <t>Smulkiojo ir vidutinio verslo subjektų dalyvavusių projekte skaičius</t>
  </si>
  <si>
    <t>05-01-05</t>
  </si>
  <si>
    <t>Įgyvendinti projektus skatinančius verslų kūrimąsi, vystymąsi, bendradarbiavimą, žinių mainus, inovacijų ir technologijų kūrimą</t>
  </si>
  <si>
    <t>Švietimo skyrius; Ekonomikos skyrius</t>
  </si>
  <si>
    <t>Įgyvendinta INOSTART programa</t>
  </si>
  <si>
    <t>05-01-06</t>
  </si>
  <si>
    <t>Parengti (atnaujinti) investicijų projektus</t>
  </si>
  <si>
    <t>Statybos ir renovacijos skyrius; Viešųjų investicijų skyrius</t>
  </si>
  <si>
    <t>Parengtų, atnaujintų investicijų projektų ir/ar kitų reikiamų dokumentų lėšų pritraukimui skaičius</t>
  </si>
  <si>
    <t>05-01-07</t>
  </si>
  <si>
    <t>Vystyti Šiaulių pramoninio parko ir Šiaulių laisvosios ekonominės zonos infrastruktūrą</t>
  </si>
  <si>
    <t>Miesto ūkio ir aplinkos skyrius; Ekonomikos skyrius; Viešųjų investicijų skyrius</t>
  </si>
  <si>
    <t>Išvalytų sklypų skaičius</t>
  </si>
  <si>
    <t>Įdiegtų geležinkelio saugumo priemonių skaičius</t>
  </si>
  <si>
    <t>Krovos aikštelių teritorija pritaikyta muitinės veiklai</t>
  </si>
  <si>
    <t>Įsigytos krovos aikštelių veiklai reikalingos įrangos skaičius</t>
  </si>
  <si>
    <t>Įgyvendintas elektros galios padidinimo projektas</t>
  </si>
  <si>
    <t>05-01-08</t>
  </si>
  <si>
    <t>Vykdyti Šiaulių Oro uosto plėtrą</t>
  </si>
  <si>
    <t>Miesto ūkio ir aplinkos skyrius; SĮ Šiaulių oro uostas; Ekonomikos skyrius</t>
  </si>
  <si>
    <t>Įvykdytų specialiųjų aviacijos saugumo užtikrinimo įsipareigojimų dalis</t>
  </si>
  <si>
    <t>Įsigytos techninės įrangos skaičius</t>
  </si>
  <si>
    <t>Atliktų angarų griovimo darbų dalis</t>
  </si>
  <si>
    <t>05-01-09</t>
  </si>
  <si>
    <t xml:space="preserve">Sukurti integruotą investuotojų pritraukimo ir aptarnavimo sistemą </t>
  </si>
  <si>
    <t>Suorganizuota renginių skaičius</t>
  </si>
  <si>
    <t>Sukurtų publikacijų, įrašų Lietuvos ir užsienio žiniasklaidos priemonėse skaičius</t>
  </si>
  <si>
    <t>Dalyvauta verslo misijose</t>
  </si>
  <si>
    <t>Sukurtų edukacinių rinkodaros priemonių skaičius</t>
  </si>
  <si>
    <t>Parengtų miesto istorijų, interviu ciklų skaičius</t>
  </si>
  <si>
    <t>Įgyvendinta reklaminė kampanija "Šiauliai - karjeros miestas"</t>
  </si>
  <si>
    <t>Atlikta Šiaulių miesto gyventojų, verslininkų, asocijuotų verslo struktūrų, turistų ir kt. apklausa</t>
  </si>
  <si>
    <t>Mokamų užsienio ir nacionaliniuose informacijos kanaluose paviešintų turinio vienetų (straipsnių, reklamų maketų, TV laidų, reportažų ir kt.) skaičius</t>
  </si>
  <si>
    <t>Parengtas ir pristatytas praktinis Šiaulių miesto stiliaus knygos (angl. brand book) paketas verslo asocijuotoms struktūroms</t>
  </si>
  <si>
    <t>Suorganizuotų verslo misijų / vizitų Šiauliuose ir užsienyje, užsienio ir šalies tikslinėms auditorijoms, skaičius</t>
  </si>
  <si>
    <t>05-01-10</t>
  </si>
  <si>
    <t>Pritraukti ir išlaikyti specialistus, emigravusius šiauliečius į Šiaulių miestą</t>
  </si>
  <si>
    <t>Vicemeras; Ekonomikos skyrius</t>
  </si>
  <si>
    <t>Pritrauktų ir išlaikytų aukštos kvalifikacijos specialistų skaičius</t>
  </si>
  <si>
    <t>Šiaulių miesto ambasadorių užsienyje skaičius</t>
  </si>
  <si>
    <t>Suorganizuotų nuotolinių ir fizinių susitikimų su Šiaulių miesto diasporos atstovais skaičius</t>
  </si>
  <si>
    <t>Internetinių svetainių "Globalūs Šiauliai" ir www.karjerasiauliuose.lt lankytojų skaičius</t>
  </si>
  <si>
    <t>05-01-11</t>
  </si>
  <si>
    <t>Kompensuoti jaunoms šeimoms dalį išlaidų įsigyjant pirmą būstą</t>
  </si>
  <si>
    <t>Šeimų gavusių kompensacijas skaičius</t>
  </si>
  <si>
    <t>05-02</t>
  </si>
  <si>
    <t>Stiprinti miesto patrauklumą plėtojant turizmo sektorių</t>
  </si>
  <si>
    <t>Turistų informacijos centro lankytojų ir interneto svetainių, socialinių tinklų vartotojų skaičius</t>
  </si>
  <si>
    <t>Vietų skaičius apgyvendinimo įstaigose</t>
  </si>
  <si>
    <t>Teigiamai Šiaulių miesto įvaizdį vertinančių miesto svečių dalis (apklausa vykdoma kas 2 m.)</t>
  </si>
  <si>
    <t xml:space="preserve">05-02-01 </t>
  </si>
  <si>
    <t>Užtikrinti turizmo informacijos centro veiklą</t>
  </si>
  <si>
    <t>Kultūros skyrius; Šiaulių turizmo informacijos centras</t>
  </si>
  <si>
    <t>Sukurtų naujų ekskursijų maršrutų skaičius</t>
  </si>
  <si>
    <t>Šiaulių turizmo informacijos centro ir „Baltų kelio“ centro lankytojų</t>
  </si>
  <si>
    <t>Sukurtų naujų bendrų, mišraus pobūdžio (privačių ir viešųjų turizmo paslaugų tiekėjų) teikiamų turizmo paslaugų skaičius</t>
  </si>
  <si>
    <t>05-02-02</t>
  </si>
  <si>
    <t>Įgyvendinti projektą "Viešojo sektoriaus specialistų gebėjimų stiprinimą, siekiant gerinti teikiamų paslaugų kokybę Šiaulių miesto savivaldybės ir Bauskės rajono savivaldybės turizmo institucijose"</t>
  </si>
  <si>
    <t>Šiaulių turizmo informacijos centras</t>
  </si>
  <si>
    <t>Įgyvendintų projekto veiklų dalis</t>
  </si>
  <si>
    <t>05-02-03</t>
  </si>
  <si>
    <t>Gerinti turizmo informacinę infrastruktūrą</t>
  </si>
  <si>
    <t>Miesto ūkio ir aplinkos skyrius; Kultūros skyrius; Architektūros skyrius; Šiaulių turizmo informacijos centras</t>
  </si>
  <si>
    <t>Informacinių ženklų, stendų, stulpų, nuorodų, infoterminalų ir kt. atnaujinimas</t>
  </si>
  <si>
    <t>05-02-04</t>
  </si>
  <si>
    <t xml:space="preserve">Įgyvendinti miesto turizmo rinkodaros ir komunikacijos priemones </t>
  </si>
  <si>
    <t>Suorganizuotų tarpdisciplininių renginių priemonių apie miestą / parengtų ir (ar) išleistų  pranešimų/straipsnių skaičius</t>
  </si>
  <si>
    <t>Įrašų per nuomonės formuotojus, žurnalistus, tinklaraštininkus skaičius socialiniuose tinkluose</t>
  </si>
  <si>
    <t>Tarptautinių ir nacionalinių turizmo, studijų, kultūros, mokslo ir pan. parodų, švenčių, verslo misijų ir kt. renginių, kuriuose pristatytos Šiaulių miesto galimybės, skaičius</t>
  </si>
  <si>
    <t>Turistinių informacinių ir reprezentacinių leidinių lietuvių ir užsienio kalbomis (popieriniai ir skaitmeniniai) skaičius</t>
  </si>
  <si>
    <t>Parengtas miesto istorijų, sėkmės istorijų ir pan. ciklų (interviu, tinklalaidės, akcijos, fotoreportažų ir pan.) skaičius</t>
  </si>
  <si>
    <t>Sukurtų edukacinių, rinkodarinių priemonių (animaciniai filmukai, žaidimai, komiksai, piešinių konkursai ir kt.) skaičius</t>
  </si>
  <si>
    <t>Įsigytos reprezentacinės aprangos, suvenyrų-dovanų ir priemonių komplektų kiekis</t>
  </si>
  <si>
    <t>Suorganizuotų informacinių – pažintinių turų Lietuvos ir užsienio žiniasklaidos atstovams, turizmo sektoriaus specialistams skaičius</t>
  </si>
  <si>
    <t>05-02-06</t>
  </si>
  <si>
    <t>Plėtoti ir stiprinti prioritetines Šiaulių miesto ir regiono turizmo rūšis</t>
  </si>
  <si>
    <t>Įvykdytų tarptautinio kultūros kelio "Baltų kelias" ir kitų kultūros ir turistinių kelių plėtros rinkodarinių/komunikacinių ir kt. veiklų skaičius</t>
  </si>
  <si>
    <t>Vystomų prioritetinių turizmo rūšių skaičius</t>
  </si>
  <si>
    <t>Įgyvendintų religinio turizmo skatinimo programų</t>
  </si>
  <si>
    <t>Įgyvendinti projektą „Pajausk istorinį skonį“</t>
  </si>
  <si>
    <t>Kultūros kelių, pradėtų vystyti Šiaulių mieste / regione („Baltų kelias“ ir kitų kultūros, turistinių kelių) maršrutų, rinkodaros, komunikacijos ir kitų veiklų skaičius</t>
  </si>
  <si>
    <t>Įvykdytų vietos ir užsienio turistų pasitenkinimo tyrimų skaičius</t>
  </si>
  <si>
    <t>05-02-09</t>
  </si>
  <si>
    <t>Įgyvendinti projektą „Didinti Lietuvos ir Lenkijos pasienio regiono patrauklumą, bendradarbiaujant per sieną ir tausiai naudojant baltų kultūros paveldą, sukuriant tarptautinį kultūros maršrutą „Baltų kelias“ (santr. Balts road LT-PL)“</t>
  </si>
  <si>
    <t>Įgyvendinta projekto veiklų</t>
  </si>
  <si>
    <t>05-03</t>
  </si>
  <si>
    <t>Didinti Šiaulių miesto žinomumą ir teigiamą įvaizdį, stiprinant miesto identitetą ir rinkodarą</t>
  </si>
  <si>
    <t>Bendras svetainės „www.siauliai.lt” aktyvių vartotojų skaičius</t>
  </si>
  <si>
    <t>Savivaldybės administracijos paskyrų  „Facebook” / „Instagram” socialiniuose tinkluose stebėtojų skaičius</t>
  </si>
  <si>
    <t>Savivaldybės administracijos „YouTube” kanalo prenumeratorių skaičius</t>
  </si>
  <si>
    <t>Teigiamai Šiaulių miesto įvaizdį vertinančių studentų, verslo atstovų, miesto svečių ir gyventojų dalis (apklausa vykdoma kas 2 m.)</t>
  </si>
  <si>
    <t>05-03-01</t>
  </si>
  <si>
    <t>Padidinti Šiaulių matomumą tarptautiniuose informacijos sklaidos kanaluose</t>
  </si>
  <si>
    <t>Vicemeras; Vyriausiasis specialistas (tarptautinių ryšių koordinatorius)</t>
  </si>
  <si>
    <t>Tarptautinių tinklų, asocijuotų struktūrų į kurių veiklą įsitraukusi Šiaulių miesto savivaldybė, skaičius</t>
  </si>
  <si>
    <t>Tarptautinių standartų, indeksų, pagal kuriuos vertinama Šiaulių miesto savivaldybė, skaičius</t>
  </si>
  <si>
    <t>05-03-02</t>
  </si>
  <si>
    <t>Stiprinti Šiaulių miesto lyderystę regiono ir šalies mastu</t>
  </si>
  <si>
    <t>Vicemeras; Ekonomikos skyrius; Vyriausiasis specialistas (tarptautinių ryšių koordinatorius)</t>
  </si>
  <si>
    <t>Nacionalinių tinklų, asocijuotų struktūrų, į kurių veiklą įsitraukusi Šiaulių miesto savivaldybė, skaičius</t>
  </si>
  <si>
    <t>Užtikrintas reprezentacinių prekių įsigijimas</t>
  </si>
  <si>
    <t>Įgyvendintų viešinimo kampanijų skaičius</t>
  </si>
  <si>
    <t>Įkurtas už miesto komunikaciją ir rinkodarą atsakingas padalinys / institucija ar kitas alternatyvus organas</t>
  </si>
  <si>
    <t>Parengta miesto identiteto, rinkodaros ir turizmo strategija</t>
  </si>
  <si>
    <t>Sukurtas miestą reprezentuojantis vaizdo filmas</t>
  </si>
  <si>
    <t>06</t>
  </si>
  <si>
    <t>Socialinės apsaugos programa</t>
  </si>
  <si>
    <t>06-01</t>
  </si>
  <si>
    <t>Užtikrinti nuoseklų ir efektyvų socialinių paslaugų teikimą</t>
  </si>
  <si>
    <t>Teikiamų socialinių paslaugų rūšių (bendrųjų socialinių paslaugų, socialinės priežiūros paslaugų, socialinės globos paslaugų) skaičius</t>
  </si>
  <si>
    <t>06-01-01</t>
  </si>
  <si>
    <t>Užtikrinti socialinių paslaugų įstaigų veiklą</t>
  </si>
  <si>
    <t>Socialinių paslaugų skyrius; Šiaulių miesto savivaldybės socialinių paslaugų centras; Šiaulių miesto šeimos centras; Šiaulių miesto savivaldybės globos namai; Kompleksinių paslaugų namai ,,Alka"</t>
  </si>
  <si>
    <t>Socialinių paslaugų centre teikiamų paslaugų rūšių skaičius</t>
  </si>
  <si>
    <t>Socialinių paslaugų centre aptarnautų asmenų (šeimų) skaičius</t>
  </si>
  <si>
    <t>Globos namuose teikiamų paslaugų rūšių skaičius</t>
  </si>
  <si>
    <t>Globos namuose aptarnautų asmenų skaičius</t>
  </si>
  <si>
    <t>Kompleksinių paslaugų namuose "Alka" teikiamų paslaugų rūšių skaičius</t>
  </si>
  <si>
    <t>Kompleksinių paslaugų namuose "Alka" paslaugų gavėjų skaičius</t>
  </si>
  <si>
    <t>2.02.</t>
  </si>
  <si>
    <t>Šeimos centre teikiamų paslaugų rūšių skaičius</t>
  </si>
  <si>
    <t>Šeimos centre paslaugų gavėjų skaičius</t>
  </si>
  <si>
    <t>Įstaigose įgyvendinamų projektų skaičius</t>
  </si>
  <si>
    <t>06-01-02</t>
  </si>
  <si>
    <t>Užtikrinti Globos centrų veiklą</t>
  </si>
  <si>
    <t>Budinčių globotojų skaičius</t>
  </si>
  <si>
    <t>Globos centrų skaičius</t>
  </si>
  <si>
    <t>GIMK mokymus baigusių asmenų skaičius</t>
  </si>
  <si>
    <t>Globėjų (rūpintojų) skaičius</t>
  </si>
  <si>
    <t>06-01-03</t>
  </si>
  <si>
    <t>Plėtoti socialinės globos paslaugas asmens namuose ir institucijoje</t>
  </si>
  <si>
    <t>Teikiamų paslaugų rūšių skaičius</t>
  </si>
  <si>
    <t>Asmenų, gaunančių laikino atokvėpio paslaugas, skaičius</t>
  </si>
  <si>
    <t>Dienos socialinės globos paslaugas institucijoje gaunančių asmenų skaičius</t>
  </si>
  <si>
    <t>Ilgalaikės ir trumpalaikės globos paslaugų gavėjai su sunkia negalia (unikalūs) skaičius</t>
  </si>
  <si>
    <t>Ilgalaikės ir trumpalaikės globos paslaugų gavėjai su negalia (unikalūs) skaičius</t>
  </si>
  <si>
    <t>Dienos socialinės globos paslaugų asmens namuose gavėjų su sunkia negalia (unikalūs) skaičius</t>
  </si>
  <si>
    <t>06-01-04</t>
  </si>
  <si>
    <t>Plėtoti prevencines socialines paslaugas, siekiant padėti asmenims (šeimoms) išvengti galimų socialinių problemų ir /ar socialinės rizikos atsiradimo ir sudaryti sąlygas asmeniui (šeimai) stiprinti gebėjimus savarankiškai spręsti socialines problemas</t>
  </si>
  <si>
    <t>Socialinių paslaugų skyrius; Šiaulių miesto savivaldybės socialinių paslaugų centras</t>
  </si>
  <si>
    <t>Į darbo rinką integruotų darbo rinkai besirengiančio asmens statusą turinčių asmenų (ilgalaikių bedarbių) dalis nuo visų darbo rinkai besirengiančių ilgalaikių bedarbių</t>
  </si>
  <si>
    <t>Nukentėjusiems asmenims, kurie patyrė smurtą artimoje aplinkoje, patyčias, išgyvena krizę ir moterims bei mergaitėms patyrusioms prievartą, suteiktų socialinių paslaugų skaičius</t>
  </si>
  <si>
    <t>Smurto artimoje aplinkoje pavojų keliančių asmenų, savanoriškai dalyvaujančių Smurtinio elgesio artimoje aplinkoje keitimo programoje, skaičius</t>
  </si>
  <si>
    <t>Jaunuolių, gaunančių paslaugas atvirame jaunimo centre ar atviroje jaunimo erdvėje, skaičius</t>
  </si>
  <si>
    <t>06-01-05</t>
  </si>
  <si>
    <t>Įgyvendinti Būsto pritaikymo asmenims turintiems negalią programą</t>
  </si>
  <si>
    <t>Statybos ir renovacijos skyrius; Socialinių paslaugų skyrius; Šiaulių miesto savivaldybės socialinių paslaugų centras</t>
  </si>
  <si>
    <t>Pritaikytų būstų dalis nuo visų gautų paraiškų nustatytam laikotarpiui</t>
  </si>
  <si>
    <t>06-01-06</t>
  </si>
  <si>
    <t>Didinti socialinių paslaugų prieinamumą</t>
  </si>
  <si>
    <t>Suteikta asmeninės pagalbos paslaugų asmenims su negalia dalis nuo pateiktų prašymų</t>
  </si>
  <si>
    <t>Suteikta palydėjimo jaunuoliams paslaugų dalis nuo pateiktų prašymų</t>
  </si>
  <si>
    <t>Suteikta intensyvios krizių įveikimo pagalbos paslaugų dalis nuo pateiktų prašymų</t>
  </si>
  <si>
    <t>Patenkintų prašymų pagalbos į namus paslaugai gauti dalis nuo visų pateiktų asmenų prašymų</t>
  </si>
  <si>
    <t>Socialines paslaugas pradėję gauti asmenys (grupinio gyvenimo  namuose / apgyvendinimo apsaugotame būste / socialinėse dirbtuvėse)</t>
  </si>
  <si>
    <t>Patenkintų prašymų apsaugoto būsto, socialinės globos paslaugoms grupinio gyvenimo namuose ir socialinėse dirbtuvėse gauti dalis nuo visų pateiktų prašymų</t>
  </si>
  <si>
    <t>Suteikta socialinės reabilitacijos paslaugų bendruomenėje dalis nuo gautų prašymų</t>
  </si>
  <si>
    <t>Vaikų, gaunančių socialinės priežiūros paslaugas vaikų dienos centruose, skaičius</t>
  </si>
  <si>
    <t>Vaikų su negalia dalis nuo visų vaikų dienos centrus lankančių vaikų</t>
  </si>
  <si>
    <t>Pritrauktų reikiamos kvalifikacijos socialinės srities specialistų skaičius</t>
  </si>
  <si>
    <t>Partnerysčių ir (ar) bendradarbiavimo sutarčių su socialinės srities specialistus rengiančiomis mokymo įstaigomis skaičius</t>
  </si>
  <si>
    <t>06-01-07</t>
  </si>
  <si>
    <t>Plėtoti neinstitucinės globos paslaugas vaikams</t>
  </si>
  <si>
    <t>Globėjų, globojančių vaikus skaičius</t>
  </si>
  <si>
    <t>Globojamų vaikų skaičius</t>
  </si>
  <si>
    <t>Šeimynų, globojančių vaikus skaičius</t>
  </si>
  <si>
    <t>Budinčių globotojų globojamų vaikų, likusių be tėvų globos šeimoje, skaičius</t>
  </si>
  <si>
    <t>Nuolatinių globotojų, globojančių vaikus, likusius be tėvų globos šeimoje, kuriems užtikrintas emocinis ir fizinis saugumas bei visavertis, poreikius atitinkantis ugdymas ir priežiūra, skaičius</t>
  </si>
  <si>
    <t>06-01-09</t>
  </si>
  <si>
    <t>Užtikrinti kraitelio skyrimą šeimoms, susilaukusioms kūdikio</t>
  </si>
  <si>
    <t>Socialinių paslaugų skyrius; Civilinės metrikacijos skyrius</t>
  </si>
  <si>
    <t>Nupirktų kraitelių skaičius</t>
  </si>
  <si>
    <t>Kūdikiams įteiktų kraitelių dalis nuo visų per metus gimusių kūdikių</t>
  </si>
  <si>
    <t>06-01-10</t>
  </si>
  <si>
    <t>Įgyvendinti projektą „Kompleksinės paslaugos šeimai Šiaulių miesto savivaldybėje"</t>
  </si>
  <si>
    <t>Paslaugų gavėjų skaičius</t>
  </si>
  <si>
    <t>Bendruomeninių šeimos namų darbuotojų, organizuojančių kompleksinių paslaugų teikimą šeimai, skaičius</t>
  </si>
  <si>
    <t>06-01-11</t>
  </si>
  <si>
    <t>Įgyvendinti projektą ,,Socialinės įtraukties ir įgalinimo stiprinimas pažeidžiamoms grupėms per integruotą ir kūrybingą metodiką“</t>
  </si>
  <si>
    <t>Pateikta paraiška finansavimui gauti</t>
  </si>
  <si>
    <t>06-01-12</t>
  </si>
  <si>
    <t>Įgyvendinti materialinio nepritekliaus mažinimo programą</t>
  </si>
  <si>
    <t>Šeimų, gaunančių paramą, skaičius</t>
  </si>
  <si>
    <t>06-01-13</t>
  </si>
  <si>
    <t>Įgyvendinti projektą „Perėjimas nuo institucinės globos prie bendruomeninių paslaugų Sostinės regione Vidurio ir vakarų Lietuvos regione"</t>
  </si>
  <si>
    <t>Socialinių paslaugų skyrius; Viešųjų investicijų skyrius</t>
  </si>
  <si>
    <t>Pasirašytų sutikimų dalyvauti atvejo vadybos modelio taikyme su asmenims, turinčiais psichikos ir (ar) intelekto negalią, skaičius</t>
  </si>
  <si>
    <t>Inicijuotų atvejo vadybos modelio taikymo atvejų skaičius</t>
  </si>
  <si>
    <t>Partnerių, vykdančių socialinių įgūdžių ugdymo, palaikymo ir (ar) atkūrimo (socialinių dirbtuvių) veiklą, skaičius</t>
  </si>
  <si>
    <t>Socialinių dirbtuvių veikloje dalyvaujančių asmenų, turinčių psichikos ir (ar) intelekto negalią, skaičius</t>
  </si>
  <si>
    <t>06-02</t>
  </si>
  <si>
    <t>Užtikrinti socialinių paslaugų prieinamumą ir kokybę, plečiant, atnaujinant ir modernizuojant socialinių paslaugų infrastruktūrą</t>
  </si>
  <si>
    <t>Socialinių įstaigų pastatų skaičius</t>
  </si>
  <si>
    <t>Asmenų ir šeimų, laukiančių socialinio būsto nuomos, laukimo laikas</t>
  </si>
  <si>
    <t>metai</t>
  </si>
  <si>
    <t>Socialinių įstaigų pastatų, kurie yra geros būklės, skaičius</t>
  </si>
  <si>
    <t>06-02-02</t>
  </si>
  <si>
    <t>Šeimoje ir bendruomenėje teikiamų paslaugų, asmenims su proto ir intelekto negalia, plėtra</t>
  </si>
  <si>
    <t>Statybos ir renovacijos skyrius; Socialinių paslaugų skyrius; Viešųjų investicijų skyrius</t>
  </si>
  <si>
    <t>Įsigytų apsaugotų būstų skaičius</t>
  </si>
  <si>
    <t>Socialinių dirbtuvių skaičius</t>
  </si>
  <si>
    <t>Pastatytų grupinio gyvenimo namų skaičius</t>
  </si>
  <si>
    <t>06-02-04</t>
  </si>
  <si>
    <t>Didinti socialinio būsto prieinamumą</t>
  </si>
  <si>
    <t>Naujai įsigyto socialinio būsto apimtys</t>
  </si>
  <si>
    <t>Asmenų (šeimų), laukiančių socialinio būsto, skaičius metų pabaigoje</t>
  </si>
  <si>
    <t>06-02-05</t>
  </si>
  <si>
    <t>Įgyvendinti projektą „Socialinio būsto fondo plėtra Šiaulių miesto savivaldybėje"</t>
  </si>
  <si>
    <t>Turto valdymo skyrius; Viešųjų investicijų skyrius</t>
  </si>
  <si>
    <t>Nupirktų būstų</t>
  </si>
  <si>
    <t>06-03</t>
  </si>
  <si>
    <t>Užtikrinti valstybės garantuotos piniginės socialinės paramos teikimą</t>
  </si>
  <si>
    <t>Piniginės socialinės paramos gavėjų dalis nuo bendro Šiaulių miesto gyventojų skaičiaus</t>
  </si>
  <si>
    <t>06-03-01</t>
  </si>
  <si>
    <t>Skirti ir išmokėti išmokas ir kompensacijas</t>
  </si>
  <si>
    <t>Socialinių išmokų ir kompensacijų gavėjų skaičius</t>
  </si>
  <si>
    <t>Laidojimo pašalpų gavėjų skaičius</t>
  </si>
  <si>
    <t>06-03-02</t>
  </si>
  <si>
    <t>Skirti ir išmokėti išmokas vaikams</t>
  </si>
  <si>
    <t>Išmokų gavėjų skaičius</t>
  </si>
  <si>
    <t>Patvirtintų pareigybių skaičius</t>
  </si>
  <si>
    <t>06-03-03</t>
  </si>
  <si>
    <t>Skirti ir išmokėti tikslines kompensacijas</t>
  </si>
  <si>
    <t>06-03-04</t>
  </si>
  <si>
    <t>Skirti kompensacijas nepriklausomybės gynėjams nukentėjusiems nuo 1991 m. sausio 11-13 d. ir po to vykdytos SSRS agresijos</t>
  </si>
  <si>
    <t>06-03-05</t>
  </si>
  <si>
    <t>Skirti kitas išmokas</t>
  </si>
  <si>
    <t>06-03-06</t>
  </si>
  <si>
    <t>Skirti socialinę paramą moksleiviams</t>
  </si>
  <si>
    <t>06-03-07</t>
  </si>
  <si>
    <t>Įgyvendinti vystomojo bendradarbiavimo veiklą ir teikti humanitarinę pagalbą</t>
  </si>
  <si>
    <t>Suteikta pagalba (parama) šaliai, kurioje įvesta nepaprastoji padėtis ir (ar) karo padėtis</t>
  </si>
  <si>
    <t>07</t>
  </si>
  <si>
    <t>Sporto programa</t>
  </si>
  <si>
    <t>Sporto skyrius</t>
  </si>
  <si>
    <t>07-01</t>
  </si>
  <si>
    <t>Skatinti gyventojų fizinio aktyvumo veiklas ir plėtoti aukšto meistriškumo sportininkų rengimo sistemą</t>
  </si>
  <si>
    <t>Sportuojančiųjų sporto klubuose ir sportininkų rengimo centruose dalis nuo gyventojų skaičiaus</t>
  </si>
  <si>
    <t>Europos ir pasaulio suaugusiųjų čempionatų olimpinių sporto šakų 1-3 v. laimėtojai</t>
  </si>
  <si>
    <t>07-01-01</t>
  </si>
  <si>
    <t>Užtikrinti sporto įstaigų veiklą</t>
  </si>
  <si>
    <t>Užtikrintas sportininkų medicininis aptarnavimas Šiaulių lengvosios atletikos ir sveikatingumo centre, gydytojų skaičius</t>
  </si>
  <si>
    <t>Rinktinės narių (suaugusiųjų amžiaus grupėje)</t>
  </si>
  <si>
    <t>Rinktinės narių (jaunučių, jaunių, jaunimo amžiaus grupėse)</t>
  </si>
  <si>
    <t>Užtikrintas sportininkų medicininis aptarnavimas Šiaulių lengvosios atletikos ir sveikatingumo centre, kitų medicinos darbuotojų skaičius</t>
  </si>
  <si>
    <t>07-01-02</t>
  </si>
  <si>
    <t>Užtikrinti sportininkų rengimo centrų veiklą</t>
  </si>
  <si>
    <t>Sporto skyrius; Sportininkų rengimo centrai</t>
  </si>
  <si>
    <t>Komandų, dalyvaujančių LFF A, I ir II lygos varžybose</t>
  </si>
  <si>
    <t>Futbolo plėtros programoje rengiamų sportininkų</t>
  </si>
  <si>
    <t>Komandų, dalyvaujančių Regiono lygos varžybose</t>
  </si>
  <si>
    <t>Krepšinio plėtros programoje rengiamų sportininkų</t>
  </si>
  <si>
    <t>07-01-03</t>
  </si>
  <si>
    <t>Vykdyti miesto, apskrities, šalies ir tarptautinius sporto renginius bei pasirengti ir dalyvauti šalies ir tarptautinėse varžybose (Baltijos, Europos ir pasaulio čempionato varžybos, kompleksiniai renginiai ir kt.)</t>
  </si>
  <si>
    <t>Šalies sporto šakų čempionatuose, taurės varžybose (suaugusiųjų amžiaus grupėje) laimėta 1–3 vietų</t>
  </si>
  <si>
    <t>Šalies sporto šakų čempionatuose, taurės varžybose (jaunučių, jaunių, jaunimo amžiaus grupėse) laimėta 1–3 vietų</t>
  </si>
  <si>
    <t>Europos čempionate iškovotų 1–6 vietų ir pasaulio čempionate, taurės varžybose (suaugusiųjų amžiaus grupėje) iškovotų 1–10 vietų</t>
  </si>
  <si>
    <t>Europos čempionate iškovotų 1–6 vietų ir pasaulio čempionate, taurės varžybose (jaunučių, jaunių, jaunimo amžiaus grupėse) iškovotų 1–10 vietų</t>
  </si>
  <si>
    <t>Perspektyviausių jaunimo ir suaugusiųjų Šiaulių miesto sportininkų skaičius</t>
  </si>
  <si>
    <t>Organizuotoje aukšto meistriškumo sporto veikloje dalyvaujančių žmonių su negalia skaičius</t>
  </si>
  <si>
    <t>Rinktinės narių (jaunių, jaunimo amžiaus grupėse)</t>
  </si>
  <si>
    <t>Surengtų sporto renginių</t>
  </si>
  <si>
    <t>07-01-04</t>
  </si>
  <si>
    <t>Pasirengti ir dalyvauti Lietuvos čempionato ir sporto šakų federacijų taurės, Baltijos lygos ir taurės laimėtojų, Europos taurės ir kitose oficialiose varžybose (žaidimų komandų jaunimo ir suaugusiųjų amžiaus grupė)</t>
  </si>
  <si>
    <t>Komandų, dalyvaujančių šalies varžybose</t>
  </si>
  <si>
    <t>Lietuvos čempionatuose laimėtų 1–3 vietų (suaugusiųjų žaidimų komandos) skaičius</t>
  </si>
  <si>
    <t>Komandų, dalyvaujančių tarptautinėse varžybose</t>
  </si>
  <si>
    <t>Tarptautinėse varžybose laimėta 1–3 vietų</t>
  </si>
  <si>
    <t>Rinktinės narių (jaunimo amžiaus grupėje)</t>
  </si>
  <si>
    <t>07-01-05</t>
  </si>
  <si>
    <t>Įgyvendinti Šiaulių miesto reprezentacinių renginių programą</t>
  </si>
  <si>
    <t>Sporto skyrius; Šiaulių miesto sporto organizacijos</t>
  </si>
  <si>
    <t>Surengtų miestą reprezentuojančių sporto renginių (tame tarpe Europos ir pasaulio čempionatų, taurės varžybų)</t>
  </si>
  <si>
    <t>Surengtų sporto renginių dalyvių</t>
  </si>
  <si>
    <t>07-01-06</t>
  </si>
  <si>
    <t>Skatinti sportininkus ir trenerius laimėjusius aukštas vietas tarptautinės varžybose</t>
  </si>
  <si>
    <t>Paskatinta aukšto meistriškumo sportininkų</t>
  </si>
  <si>
    <t>Premijų (stipendijų), skirtų sportininkams</t>
  </si>
  <si>
    <t>Paskatinta aukšto meistriškumo sportininkų trenerių</t>
  </si>
  <si>
    <t>07-01-07</t>
  </si>
  <si>
    <t>Kompensuoti tėvų atlyginimą už teikiamas sportinio rengimo paslaugas sporto įstaigose ir sportininkų rengimo centruose</t>
  </si>
  <si>
    <t>Atlyginimo lengvatą už teikiamas sportinio rengimo paslaugas gaunančių asmenų</t>
  </si>
  <si>
    <t>07-01-08</t>
  </si>
  <si>
    <t>Skatinti savarankišką fizinį aktyvumą įvairiose gyventojų grupėse</t>
  </si>
  <si>
    <t>Savivaldybės administracijos dalinai finansuojamų organizuotų fizinio aktyvumo užsiėmimų dalyvių dalis nuo bendro Šiaulių m. gyventojų skaičiaus</t>
  </si>
  <si>
    <t>Savivaldybės administracijos dalinai finansuojamų organizuotų fizinio aktyvumo veiklose dalyvavusių negalią turinčių asmenų skaičius</t>
  </si>
  <si>
    <t>Atliktas pilotinis tyrimas dėl Savivaldybės švietimo įstaigų uždaros sporto infrastruktūros atvėrimo bendruomenės sporto ir fizinio aktyvumo poreikiams tenkinti</t>
  </si>
  <si>
    <t>07-01-09</t>
  </si>
  <si>
    <t>Mokyti vaikus plaukti ir saugiai elgtis vandenyje ir prie vandens</t>
  </si>
  <si>
    <t>Sporto skyrius; Šiaulių plaukimo centras ,,Delfinas"</t>
  </si>
  <si>
    <t>Išmokytų plaukti vaikų dalis nuo bendro 1–4 klasių mokinių skaičiaus Šiaulių miesto bendrojo ugdymo mokyklose</t>
  </si>
  <si>
    <t>07-02</t>
  </si>
  <si>
    <t>Išvystyti gyventojų poreikius atitinkančią sporto ir fizinio aktyvumo infrastruktūrą</t>
  </si>
  <si>
    <t>Savivaldybės sporto įstaigų pastatų / statinių, bazių skaičiaus</t>
  </si>
  <si>
    <t>Savivaldybės sporto įstaigų pastatų / statinių, bazių, kurios yra geros būklės, skaičius</t>
  </si>
  <si>
    <t>Savivaldybės sporto įstaigų pastatų / statinių, bazių, pritaikytų fizinę negalią turintiems asmenims, dalis</t>
  </si>
  <si>
    <t>07-02-01</t>
  </si>
  <si>
    <t>Įgyvendinti projektą „Bendrojo ugdymo, neformaliojo ugdymo ir kitų viešųjų paslaugų teikimui trūkstamos infrastruktūros sukūrimas, adresu J. Jablonskio g. 14, Šiauliai“</t>
  </si>
  <si>
    <t>Statybos ir renovacijos skyrius; Sporto skyrius; Viešųjų investicijų skyrius; Architektūros skyrius</t>
  </si>
  <si>
    <t>Atlikta darbų</t>
  </si>
  <si>
    <t>Įsigytas baldų ir kitas inventorius</t>
  </si>
  <si>
    <t>07-02-02</t>
  </si>
  <si>
    <t>Pastatyti irklavimo sporto bazę (Žvyro g. 34)</t>
  </si>
  <si>
    <t>Statybos ir renovacijos skyrius; Sporto skyrius</t>
  </si>
  <si>
    <t>Atlikta II etapo statybos darbų</t>
  </si>
  <si>
    <t>07-02-03</t>
  </si>
  <si>
    <t>Suprojektuoti ir pastatyti buriavimo elingą prie Rėkyvos ežero (Poilsio g. 10A)</t>
  </si>
  <si>
    <t>Statybos ir renovacijos skyrius; Sporto skyrius; Architektūros skyrius</t>
  </si>
  <si>
    <t>07-02-06</t>
  </si>
  <si>
    <t>Modernizuoti/pastatyti sporto įstaigų pastatus, statinius, bazes</t>
  </si>
  <si>
    <t>Atlikta Šiaulių m. stadiono komplekso (S. Daukanto g. 23) renovacijos darbų</t>
  </si>
  <si>
    <t>Parengtas VŠĮ Šiaulių krepšinio akademijos „Saulė“ pastato statybos projektas</t>
  </si>
  <si>
    <t>08</t>
  </si>
  <si>
    <t>Švietimo programa</t>
  </si>
  <si>
    <t>Švietimo skyrius</t>
  </si>
  <si>
    <t>08-01</t>
  </si>
  <si>
    <t>Plėtoti inovatyvią švietimo sistemą, ugdančią aktyvią ir kūrybingą asmenybę</t>
  </si>
  <si>
    <t>Išlaikiusių brandos egzaminus dalis, nuo laikiusių</t>
  </si>
  <si>
    <t>Įstojusių į aukštąsias mokyklas dalis (asmenys, baigę bendrojo ugdymo mokyklas Šiauliuose) nuo visų, gavusių vidurinį išsilavinimą</t>
  </si>
  <si>
    <t>Pagalbos mokiniui specialistų, tenkančių 100 mokinių, skaičius</t>
  </si>
  <si>
    <t>08-01-01</t>
  </si>
  <si>
    <t>Atstovauti miestui, pristatyti švietimo veiklą, organizuoti renginius</t>
  </si>
  <si>
    <t>Suorganizuotų reprezentacinių renginių skaičius</t>
  </si>
  <si>
    <t>Apdovanotų olimpiadų nugalėtojų skaičius</t>
  </si>
  <si>
    <t>Įteiktų premijų ,,Metų mokytojas“ skaičius</t>
  </si>
  <si>
    <t>Vieną ir daugiau 100 balų įvertinimą gavusių mokinių skaičius</t>
  </si>
  <si>
    <t>Švietimo lyderystės programos dalyvių skaičius</t>
  </si>
  <si>
    <t>Pirmoko krepšelį gavusių mokinių skaičius</t>
  </si>
  <si>
    <t>Šiaulių miestą atstovavusių asmenų, nuvežtų į respublikinius renginius, skaičius</t>
  </si>
  <si>
    <t>08-01-02</t>
  </si>
  <si>
    <t>Užtikrinti skaitmeninę plėtrą bendrojo ugdymo mokyklose</t>
  </si>
  <si>
    <t>Sukurtos skaitmeninės mokymosi aplinkos, naudojamos skaitmeninės mokymo priemonės mokyklose, skaičius</t>
  </si>
  <si>
    <t>08-01-03</t>
  </si>
  <si>
    <t>Užtikrinti švietimo elektroninės apskaitos ir registracijos sistemų funkcionavimą</t>
  </si>
  <si>
    <t>Veikianti priėmimo į bendrojo ugdymo mokyklas sistema</t>
  </si>
  <si>
    <t>Veikianti priėmimo į ikimokyklinio ugdymo įstaigas sistema</t>
  </si>
  <si>
    <t>Veikianti SKU modelio apskaitos sistema</t>
  </si>
  <si>
    <t>Veikianti elektroninio mokinio pažymėjimo sistema</t>
  </si>
  <si>
    <t>08-01-04</t>
  </si>
  <si>
    <t>Didinti STEAM mokslų (mokomųjų dalykų) patrauklumą</t>
  </si>
  <si>
    <t>Mokinių, dalyvaujančių Šiaulių techninės kūrybos centro veiklose, dalis nuo visų mokinių</t>
  </si>
  <si>
    <t>STEAM centrų ikimokyklinio ugdymo įstaigose skaičius</t>
  </si>
  <si>
    <t>Vaikų, dalyvavusių „STEAM DARŽELIS“ centrų veiklose, dalis nuo visų ikimokyklinio amžiaus vaikų</t>
  </si>
  <si>
    <t>STEAM laboratorijų bendrojo ugdymo mokyklose skaičius</t>
  </si>
  <si>
    <t>STEAM ir STEAM JUNIOR programos grupių skaičius</t>
  </si>
  <si>
    <t>STEAM renginių ir varžybų skaičius</t>
  </si>
  <si>
    <t>08-01-05</t>
  </si>
  <si>
    <t>Bendradarbiauti su aukštosiomis, profesinėmis ir bendrojo ugdymo mokyklomis, socialiniais-ekonominiais partneriais, ruošiant specialistus</t>
  </si>
  <si>
    <t>Inžinerijos ir informatikos mokslų krypties studijų Šiaulių mieste parama kviestiniams dėstytojams, skatinamųjų stipendijų skaičius</t>
  </si>
  <si>
    <t>Pritaikytų erdvių integruotam gamtos mokslų ugdymui ir Šiaulių miesto bendruomenės švietimui programų skaičius</t>
  </si>
  <si>
    <t>Viešųjų ryšių akcijos priemonių skaičius</t>
  </si>
  <si>
    <t>Studentų, kuriems skirta studijų parama, skaičius</t>
  </si>
  <si>
    <t>Ankstyvojo profesinio informavimo programoje "OPA" dalyvavusių skaičius (pradinių klasių mokiniams)</t>
  </si>
  <si>
    <t>Technologijų pamokų programoje ŠTMC dalyvavusių skaičius</t>
  </si>
  <si>
    <t>Pedagogų, kurie persikvalifikavo ir/ ar įgijo papildomą mokomojo dalyko specializaciją skaičius</t>
  </si>
  <si>
    <t>Įgyvendintų aukštųjų mokyklų bendradarbiavimo programų skaičius</t>
  </si>
  <si>
    <t>08-01-06</t>
  </si>
  <si>
    <t>Tobulinti neformaliojo suaugusiųjų švietimo paslaugų sistemą</t>
  </si>
  <si>
    <t>Įgyvendinamų programų skaičius</t>
  </si>
  <si>
    <t>Asmenų, dalyvavusių Šiaulių miesto savivaldybės neformaliojo suaugusiųjų švietimo modelio įgyvendinime, skaičius</t>
  </si>
  <si>
    <t>08-01-08</t>
  </si>
  <si>
    <t xml:space="preserve">Užtikrinti įtraukiojo ugdymo principinių nuostatų įgyvendinimą visuose švietimo sistemos lygiuose </t>
  </si>
  <si>
    <t>Specialiųjų ugdymosi poreikių turinčių mokinių, kuriems teikiama švietimo pagalba, dalis nuo visų specialiųjų ugdymosi poreikių turinčių mokinių</t>
  </si>
  <si>
    <t>Specialiųjų ugdymo (-si) poreikių turinčių vaikų, dalyvaujančių neformaliajame vaikų švietime, dalis nuo visų vaikų</t>
  </si>
  <si>
    <t>Specialiųjų ugdymosi poreikių turinčių mokinių, ugdomų įtraukiuoju būdu bendros paskirties švietimo įstaigose, dalis nuo visų mokinių</t>
  </si>
  <si>
    <t>08-01-09</t>
  </si>
  <si>
    <t>Įgyvendinti inovatyvius sprendimus, priemones švietimo įstaigose</t>
  </si>
  <si>
    <t>Ikimokyklinio ugdymo įstaigų, dalyvaujančių „Mąstymo mokyklų“ tinklo veiklose, skaičius</t>
  </si>
  <si>
    <t>Ikimokyklinio ugdymo įstaigų, dalyvaujančių „Darnus darželis“ tinklo veiklose, skaičius</t>
  </si>
  <si>
    <t>08-01-10</t>
  </si>
  <si>
    <t>Įgyvendinti projektą „Atvirų klasių sukūrimas Šiaulių Vinco Kudirkos progimnazijoje“</t>
  </si>
  <si>
    <t>Švietimo skyrius; Šiaulių Vinco Kudirkos progimnazija ; Viešųjų investicijų skyrius</t>
  </si>
  <si>
    <t>Mokytojų, dirbantys su mokiniais turinčiais didelių specialių ugdymosi poreikių, skaičius</t>
  </si>
  <si>
    <t>08-01-11</t>
  </si>
  <si>
    <t>Įgyvendinti projektą „Ankstyvojo ugdymo užtikrinimas vaikams iš socialinę riziką patiriančių šeimų“</t>
  </si>
  <si>
    <t>Socialinių paslaugų skyrius; Švietimo skyrius; Viešųjų investicijų skyrius</t>
  </si>
  <si>
    <t>Į ikimokyklinį ugdymą įtrauktų vaikų iš socialinę riziką patiriančių šeimų</t>
  </si>
  <si>
    <t>08-01-12</t>
  </si>
  <si>
    <t>Įgyvendinti projektą „Švietimo įstaigų vadovų mentorių rengimas“</t>
  </si>
  <si>
    <t>Švietimo įstaigų, konsorciumo narių</t>
  </si>
  <si>
    <t>08-01-13</t>
  </si>
  <si>
    <t>Įgyvendinti pedagogų pritraukimo į Šiaulių miesto švietimo įstaigas, perkvalifikavimo ir kvalifikacijos tobulinimo programą</t>
  </si>
  <si>
    <t>Šiaulių miesto savivaldybės „Pedagogų pritraukimo, perkvalifikavimo ir kvalifikacijos tobulinimo strategijos plano priemonėse” dalyvaujančių asmenų skaičius</t>
  </si>
  <si>
    <t>08-02</t>
  </si>
  <si>
    <t>Užtikrinti švietimo paslaugų prieinamumą ir kokybę, gerinant ugdymo (-si) aplinką</t>
  </si>
  <si>
    <t>Ikimokyklinio ugdymo įstaigų pastatų, kurie yra geros būklės, skaičius</t>
  </si>
  <si>
    <t>Ikimokyklinio ugdymo įstaigų pastatų skaičius</t>
  </si>
  <si>
    <t>Bendrojo ugdymo mokyklų pastatų, kurie yra geros būklės, skaičius</t>
  </si>
  <si>
    <t>Bendrojo ugdymo mokyklų pastatų skaičius</t>
  </si>
  <si>
    <t>Neformaliojo švietimo įstaigų pastatų, kurie yra geros būklės, skaičius</t>
  </si>
  <si>
    <t>Neformaliojo švietimo įstaigų pastatų skaičius</t>
  </si>
  <si>
    <t>08-02-01</t>
  </si>
  <si>
    <t>Atnaujinti švietimo įstaigų pastatus, patalpas, įrangą ir komunikacijas</t>
  </si>
  <si>
    <t>Statybos ir renovacijos skyrius; Švietimo skyrius</t>
  </si>
  <si>
    <t>Švietimo įstaigų, atnaujinusių  virtuves ir įrangą, preliminarus skaičius, iš jų: 2025 m. - Medelyno, 2026 m. - V. Kudirkos, "Rasos" progimnazijos, 2027 m. - "Santarvės" gimnazija</t>
  </si>
  <si>
    <t>Įstaigų, kurių pastatams apšiltintos sienos, skaičius, iš jų: 2025 m. - "Dagilėlio" dainavimo mokykla, l-d "Vaikystė", 2026 m. - Jovaro progimnazija, 2027 m. - "Rasos" progimnazijos ikim. ugd. skyrius, "Saulės" pradinė mokykla</t>
  </si>
  <si>
    <t>Kapitalinis  "Sandoros" ir "Juventos" progimnazijų langų remontas</t>
  </si>
  <si>
    <t>Įstaigų, kuriose atliktas vamzdynų ir patalpų remontas, įsigyta įranga, skaičius, iš jų: 2025 m. - lopšeliai-darželiai "Ežerėlis", "Dainelė", "Berželis", "Gluosnis", J. Janonio, Didždvario gimnazijos , 2026 m. l/d "Gluosnis (tęstinis),  "Drugelis" , 2027 m.  -  l/d "Bitė", "Eglutė"</t>
  </si>
  <si>
    <t>Įstaigų, kuriose atliktas elektros instaliacijos remontas, skaičius, iš jų:  2025 m. - l/d ,,Drugelis“, "Berželis", 2026 m. - Lieporių gimnazija, i2027 m. Lieporių gimnazija (tęstinis)</t>
  </si>
  <si>
    <t>Įstaigų, kuriose atnaujinti arba suremontuoti stogai, skaičius, iš jų: 2025 m. - „Dagilėlio“ dainavimo mokykla, Juliaus Janonio gimnazija, 2026 m. - Jovaro progimnazija, 2027 m. -  "Rasos" progimnazija</t>
  </si>
  <si>
    <t>Įstaigų, kuriose atnaujinti arba suremontuoti fasadai ir nuogrindos, skiačius, iš jų: 2025 m. - L/d "Vaikystė", Lieporių gimnazija, Salduvės progimnazija, 2026 m. - Jovaro progimnazija, 2027 m. - "Rasos" progimnazija</t>
  </si>
  <si>
    <t>08-02-02</t>
  </si>
  <si>
    <t>Atnaujinti švietimo įstaigų lauko teritorijas ir įrenginius</t>
  </si>
  <si>
    <t>Miesto ūkio ir aplinkos skyrius; Švietimo skyrius</t>
  </si>
  <si>
    <t>Švietimo įstaigų, kuriose atnaujintos teritorijų dangos ir įvažiavimai, skaičius pagal 2024 m. kovo 27 d. Administracijos direktoriaus įsakymu Nr. A-150  sudarytą eilę.</t>
  </si>
  <si>
    <t>Ikimokyklinio ugdymo įstaigų, kuriose atnaujinta lauko infrastruktūra, įkurtos lauko edukacinės erdvės, skaičius  pagal sutvarkytas teritorijas.</t>
  </si>
  <si>
    <t>Švietimo įstaigų, kuriose atnaujinti lauko įrenginiai ir aptvertos teritorijos, skaičius, iš jų: 2025 m. - Dailės mokykla, 2026 m. - S. Daukanto gimnazija , 2027 m. -  "Romuvos" gimnazija</t>
  </si>
  <si>
    <t>Švietimo įstaigų, kuriose atnaujintas lauko apšvietimas, skaičius, iš jų: 2025 m. - Ragainės, V. Kudirkos progimnazijos, 2026 m. - S. Daukanto inž. gimnazija , 2027 m. - Pabalių l/d</t>
  </si>
  <si>
    <t>08-02-03</t>
  </si>
  <si>
    <t>Atnaujinti švietimo įstaigų sporto infrastruktūrą</t>
  </si>
  <si>
    <t>Įrengta Sporto gimnazijos sporto aikštelė</t>
  </si>
  <si>
    <t>Atliktų St. Šalkauskio gimnazijos sporto aikštyno atnaujinimo rangos darbų dalis</t>
  </si>
  <si>
    <t>Suremontuotų  sporto salių (ir pagalbinių patalpų) švietimo įstaigose skaičius, iš jų: 2025 m. - "Romuvos", "Santarvės" gimnazijos, 2026 m. - l/d "Berželis, 2027 m. - Jaunųjų turistų centras</t>
  </si>
  <si>
    <t>08-02-04</t>
  </si>
  <si>
    <t>Modernizuoti švietimo įstaigų pastatus / statinius</t>
  </si>
  <si>
    <t>Įrengti liftai ir kitas pritaikymas neįgaliesiems švietimo įstaigose (Dailės mokykla, Salduvės, Romuvos, Gytarių, Zoknių progimnazijos)</t>
  </si>
  <si>
    <t>Įdiegta kondicionavimo įranga švietimo įstaigose (J. Janonio , Lieporių , St. Šalkauskio , ŠUG, Santarvės gimn., Gegužių ,  Dainų, Gytarių , "Sandoros", Medelyno prog., Centro pradinė ir kt.)</t>
  </si>
  <si>
    <t>Bendrojo ugdymo įstaigos, kurių patalpoms taikoma "saugios mokyklos"  aplinka ("Juventos", Salduvės, "Rasos", Zoknių progimnazijos ir  kt.)</t>
  </si>
  <si>
    <t>08-02-05</t>
  </si>
  <si>
    <t>Užtikrinti švietimo įstaigų pastatų ir vidaus patalpų avarinių situacijų šalinimą</t>
  </si>
  <si>
    <t>Pašalintos vidaus ir išorės pastatų, lauko aplinkos avarinės situacijos švietimo įstaigose</t>
  </si>
  <si>
    <t>08-02-06</t>
  </si>
  <si>
    <t>Įgyvendinti projektą „Šiaulių Sporto gimnazijos (Vilniaus g. 297) modernizavimas“</t>
  </si>
  <si>
    <t>Statybos ir renovacijos skyrius; Švietimo skyrius; Viešųjų investicijų skyrius</t>
  </si>
  <si>
    <t>Atliktų Sporto gimnazijos bendrabučio remonto darbų dalis</t>
  </si>
  <si>
    <t>Atliktų I etapo (vidaus įrengimas) rangos darbų dalis</t>
  </si>
  <si>
    <t>08-02-07</t>
  </si>
  <si>
    <t>Įgyvendinti projektą „Santarvės gimnazijos rekonstravimas“</t>
  </si>
  <si>
    <t>Atliktų planuotų pastato remonto darbų dalis</t>
  </si>
  <si>
    <t>08-02-08</t>
  </si>
  <si>
    <t>Įgyvendinti projektą „Savivaldybės viešųjų pastatų atnaujinimui teikiamų subsidijų panaudojimas“</t>
  </si>
  <si>
    <t>Atnaujintų (modernizuotų) savivaldybės viešųjų pastatų skaičius</t>
  </si>
  <si>
    <t>08-02-09</t>
  </si>
  <si>
    <t>Įgyvendinti projektą „Šiaulių jaunųjų gamtininkų centro jojimo skyriaus modernizavimas, sukuriant tinkamas sąlygas visuomenės sveikatos stiprinimo, neformaliojo švietimo viešųjų paslaugų teikimui, gyventojų poilsio organizavimui“</t>
  </si>
  <si>
    <t>Statybos ir renovacijos skyrius; Švietimo skyrius; Šiaulių jaunųjų gamtininkų centras; Viešųjų investicijų skyrius</t>
  </si>
  <si>
    <t>Atliktų rangos darbų dalis</t>
  </si>
  <si>
    <t>Įsigyta baldų ir kito inventoriaus</t>
  </si>
  <si>
    <t>08-02-10</t>
  </si>
  <si>
    <t>Įgyvendinti projektą „Edukacinių erdvių įrengimas Šiaulių miesto ugdymo įstaigose, plėtojant visos dienos mokyklos veiklas“</t>
  </si>
  <si>
    <t>Mokinių, dalyvaujančių visos dienos mokyklos veiklose, dalis nuo visų pradinių klasių mokinių</t>
  </si>
  <si>
    <t>Įsigytos įrangos ir baldų skaičius</t>
  </si>
  <si>
    <t>Įrengtų edukacinių erdvių</t>
  </si>
  <si>
    <t>08-02-11</t>
  </si>
  <si>
    <t>Įgyvendinti projektą „Ikimokyklinio ugdymo paslaugų prieinamumo didinimas Šiaulių miesto savivaldybėje“</t>
  </si>
  <si>
    <t>Sukurtų naujų ikimokyklinio ugdymo vietų skaičius</t>
  </si>
  <si>
    <t>08-02-12</t>
  </si>
  <si>
    <t>Įgyvendinti bendrojo ugdymo mokyklų projektą ,,Tūkstantmečio mokyklos I“</t>
  </si>
  <si>
    <t>Statybos ir renovacijos skyrius; Švietimo skyrius; Šiaulių S. Šalkauskio gimnazija; Šiaulių Salduvės progimnazija; Šiaulių Ragainės progimnazija; Šiaulių Gytarių progimnazija; Šiaulių universitetinė gimnazija; Viešųjų investicijų skyrius</t>
  </si>
  <si>
    <t>Atnaujinta infrastruktūra Šiaulių universitetinėje ir S. Šalkauskio gimnazijose, Gytarių, Ragainės ir Salduvės progimnazijose</t>
  </si>
  <si>
    <t>Įgyvendintų ugdymo kokybę gerinančių priemonių Šiaulių universitetinėje ir S. Šalkauskio gimnazijose, Gytarių, Ragainės ir Salduvės progimnazijose, dalis</t>
  </si>
  <si>
    <t>Įsigyti baldai, įranga ir mokymo priemonės Šiaulių universitetinėje ir S. Šalkauskio gimnazijose, Gytarių, Ragainės ir Salduvės progimnazijose</t>
  </si>
  <si>
    <t>Švietimo pagalbą gaunančių mokinių dalis nuo visų mokinių, kuriems nustatytas tokios pagalbos poreikis, skaičiaus</t>
  </si>
  <si>
    <t>Neformaliojo švietimo veikloje dalyvaujančių mokinių dalis nuo bendrojo ugdymo mokyklų mokinių skaičiaus</t>
  </si>
  <si>
    <t>STEAM: 7-12 kl. TŪM mokyklų mokinių, kurie turi galimybes dalyvauti praktinėse pamokose laboratorijose ne rečiau kaip 1 kartą per mėnesį, dalis nuo bendro TŪM mokyklų 7-12 klasių mokinių skaičiaus</t>
  </si>
  <si>
    <t>08-02-13</t>
  </si>
  <si>
    <t>Įgyvendinti projektą „S. Daukanto inžinerijos gimnazijos  infrastruktūros modernizavimas, pritaikant specializuotų inžinerinio ugdymo programų vykdymui“</t>
  </si>
  <si>
    <t>08-02-14</t>
  </si>
  <si>
    <t>Įgyvendinti projektą „Bendrojo ugdymo paslaugų kokybės gerinimas ir prieinamumo didinimas Šiaulių mieste, modernizuojant Vinco Kudirkos progimnaziją“</t>
  </si>
  <si>
    <t>08-02-15</t>
  </si>
  <si>
    <t>Įgyvendinti projektą „Bendrojo ugdymo paslaugų kokybės gerinimas ir prieinamumo didinimas Šiaulių mieste, modernizuojant Šiaulių Ragainės progimnaziją“</t>
  </si>
  <si>
    <t>08-02-16</t>
  </si>
  <si>
    <t>Įgyvendinti projektą „Šiaulių miesto ,,Romuvos“, Dainų ir Salduvės progimnazijų bei Didždvario ir Lieporių gimnazijų lauko infrastruktūros atnaujinimas, pritaikymas ugdymo poreikiams ir funkcionalumo didinimas“</t>
  </si>
  <si>
    <t>08-02-17</t>
  </si>
  <si>
    <t>Įgyvendinti projektą „Didždvario gimnazijos pastato remontas“</t>
  </si>
  <si>
    <t>Atlikta pastato remonto darbų</t>
  </si>
  <si>
    <t>08-02-18</t>
  </si>
  <si>
    <t>Renovuoti švietimo įstaigų baseinus</t>
  </si>
  <si>
    <t>Atlikta baseino remonto darbų</t>
  </si>
  <si>
    <t>08-03</t>
  </si>
  <si>
    <t>Sudaryti sąlygas jaunimo savirealizacijai jų poreikiams pritaikytoje aplinkoje</t>
  </si>
  <si>
    <t>Nepilnamečių, įtariamų padarius nusikalstamas veikas, skaičius, tenkantis 100 tūkst. 1417 metų amžiaus vaikų</t>
  </si>
  <si>
    <t>Mokinių vasaros užimtumas nuo bendro mokinių skaičiaus</t>
  </si>
  <si>
    <t>Jaunimo organizacijose dalyvaujančių asmenų skaičius</t>
  </si>
  <si>
    <t>08-03-01</t>
  </si>
  <si>
    <t>Įgyvendinti vaikų ir jaunimo vasaros užimtumo programas</t>
  </si>
  <si>
    <t>Suorganizuotų vaikų ir jaunimo poilsio stovyklų dalyvių skaičius</t>
  </si>
  <si>
    <t>08-03-02</t>
  </si>
  <si>
    <t>Organizuoti kokybišką jaunimo užimtumą ir laisvalaikio praleidimą</t>
  </si>
  <si>
    <t>Sukurta aplikacija, programėlė, siekiant padidinti jaunimo užimtumo galimybių viešinimą</t>
  </si>
  <si>
    <t>Suorganizuotų masinių renginių, festivalių jaunimui skaičius</t>
  </si>
  <si>
    <t>08-03-03</t>
  </si>
  <si>
    <t>Pritaikyti erdves  jaunimo poreikiams ir veiklai</t>
  </si>
  <si>
    <t>08-03-04</t>
  </si>
  <si>
    <t>Finansuota projektų skaičius</t>
  </si>
  <si>
    <t>Dalyvių skaičius</t>
  </si>
  <si>
    <t>Jaunimo, dalyvaujančio projektinėje veikloje, dalis nuo bendro jaunimo skaičiaus</t>
  </si>
  <si>
    <t>08-04</t>
  </si>
  <si>
    <t>Sudaryti sąlygas kokybiškam ugdymo procesui</t>
  </si>
  <si>
    <t>Vaikų, dalyvaujančių ikimokykliniame ugdyme 3-5 metų, dalis nuo vaikų (3-5 m.)</t>
  </si>
  <si>
    <t>Mokyklinio amžiaus vaikų, nesimokančių mokyklose skaičius, tenkantis 1000 gyv.</t>
  </si>
  <si>
    <t>Neformaliojo švietimo veiklose dalyvaujančių mokinių dalis Šiaulių miesto savivaldybės mokyklose nuo visų mokinių</t>
  </si>
  <si>
    <t>08-04-01</t>
  </si>
  <si>
    <t>Užtikrinti švietimo įstaigų veiklą (ML 98% + SB)</t>
  </si>
  <si>
    <t>Bendrojo ugdymo mokyklų skaičius</t>
  </si>
  <si>
    <t>Miesto bendrojo ugdymo mokyklose mokinių skaičius</t>
  </si>
  <si>
    <t>1.03.</t>
  </si>
  <si>
    <t>Veikiantis švietimo kompetencijų centras</t>
  </si>
  <si>
    <t>Tarnyba, teikianti pedagoginę psichologinę pagalbą vaikams ir mokiniams</t>
  </si>
  <si>
    <t>Įstaigų, kuriose įsteigti karjeros specialisto etatai, skaičius</t>
  </si>
  <si>
    <t>Mokinių, dalyvaujančių ,,Kultūros krepšelio“ edukaciniuose užsiėmimuose Šiaulių regiono muziejuose ir kitose kultūros įstaigose skaičius</t>
  </si>
  <si>
    <t>Įdiegtų akredituotų tarptautinio bakalaureato pradinio (1-4 kl.) ir pagrindinio (5-8 kl.) ugdymo programų, skaičius</t>
  </si>
  <si>
    <t>Bendrojo ugdymo įstaigų, kuriose ugdoma anglų kalba, skaičius</t>
  </si>
  <si>
    <t>08-04-02</t>
  </si>
  <si>
    <t>Tenkinti mokymo reikmes (ML  2% )</t>
  </si>
  <si>
    <t>Ikimokyklinio ir bendrojo ugdymo mokyklų, kuriose tenkinamos ugdymo reikmės, skaičius</t>
  </si>
  <si>
    <t>Mokyklų, įdiegusių socialinių kompetencijų ugdymo modelį, skaičius</t>
  </si>
  <si>
    <t>08-04-03</t>
  </si>
  <si>
    <t>Organizuoti mokinių vežimą</t>
  </si>
  <si>
    <t>Mokinių, kuriems kompensuojamas važiavimas į mokyklą, skaičius</t>
  </si>
  <si>
    <t>08-04-04</t>
  </si>
  <si>
    <t>Užtikrinti viešųjų įstaigų, įgyvendinančių bendrąsias ir specialiąsias ugdymo programas bei nevalstybinių tradicinių religinių bendruomenių ir bendrijų mokyklų veiklą (ML 98 % + SB)</t>
  </si>
  <si>
    <t>VšĮ ugdymo įstaigų skaičius</t>
  </si>
  <si>
    <t>Nevalstybinių tradicinių religinių bendruomenių ir bendrijų mokyklų skaičius</t>
  </si>
  <si>
    <t>08-04-05</t>
  </si>
  <si>
    <t>Užtikrinti neformaliojo vaikų švietimo įstaigų veiklą</t>
  </si>
  <si>
    <t>Sporto skyrius; Švietimo skyrius</t>
  </si>
  <si>
    <t>Neformaliojo vaikų švietimo mokyklų skaičius</t>
  </si>
  <si>
    <t>Vaikų, lankančių neformaliojo vaikų švietimo mokyklas, skaičius</t>
  </si>
  <si>
    <t>FŠPU dalyvaujančių 1-12 klasių mokinių skaičius</t>
  </si>
  <si>
    <t>Neformaliojo švietimo mokyklų, kuriose atliktas išorės vertinimas, skaičius</t>
  </si>
  <si>
    <t>Formalųjį švietimą papildančių ugdymo programų skaičius</t>
  </si>
  <si>
    <t>Veiklų, didinančių neformaliojo vaikų švietimo patrauklumą mokinių ir tėvų bendruomenėje, skaičius</t>
  </si>
  <si>
    <t>08-04-06</t>
  </si>
  <si>
    <t>Užtikrinti neformaliojo vaikų švietimo teikėjų programų vykdymą</t>
  </si>
  <si>
    <t>Neformaliojo vaikų švietimo programų skaičius</t>
  </si>
  <si>
    <t>Neformaliojo vaikų švietimo teikėjų skaičius</t>
  </si>
  <si>
    <t>Nevalstybinių švietimo įstaigų ir laisvųjų mokytojų įgyvendinamų neformaliojo vaikų švietimo programas lankančių vaikų skaičius</t>
  </si>
  <si>
    <t>08-04-07</t>
  </si>
  <si>
    <t>Kompensuoti tėvų atlyginimą už neformalųjį vaikų švietimą savivaldybės įstaigose</t>
  </si>
  <si>
    <t>Atlyginimo lengvatą už neformalųjį vaikų švietimą  gaunančių vaikų skaičius</t>
  </si>
  <si>
    <t>08-04-08</t>
  </si>
  <si>
    <t>Užtikrinti ikimokyklinio ir priešmokyklinio ugdymo įstaigų veiklą</t>
  </si>
  <si>
    <t>Ikimokyklinio ugdymo įstaigų skaičius</t>
  </si>
  <si>
    <t>Pagal ikimokyklinę programą ugdomų vaikų skaičius</t>
  </si>
  <si>
    <t>Mokyklų ikimokyklinio ugdymo skyrių skaičius</t>
  </si>
  <si>
    <t>Ikimokyklinio ugdymo įstaigų, kuriose ugdoma anglų kalba, skaičius</t>
  </si>
  <si>
    <t>08-04-09</t>
  </si>
  <si>
    <t>Kompensuoti tėvų atlyginimą už vaiko išlaikymą įstaigoje</t>
  </si>
  <si>
    <t>Ikimokyklinio ugdymo įstaigose lengvatas gaunančių vaikų skaičius</t>
  </si>
  <si>
    <t>08-04-10</t>
  </si>
  <si>
    <t>Užtikrinti ikimokyklinio ugdymo programų įgyvendinimą Šiaulių miesto nevalstybinėse švietimo įstaigose</t>
  </si>
  <si>
    <t>Nevalstybines švietimo įstaigas, įgyvendinančias ikimokyklinio ugdymo programas, lankančių ugdytinių skaičius</t>
  </si>
  <si>
    <t>08-04-11</t>
  </si>
  <si>
    <t>Užtikrinti ikimokyklinio ir priešmokyklinio ugdymo programas vykdančių viešųjų įstaigų veiklą</t>
  </si>
  <si>
    <t>Viešųjų įstaigų skaičius</t>
  </si>
  <si>
    <t>08-04-12</t>
  </si>
  <si>
    <t>Užtikrinti profesinio orientavimo paslaugų teikimą Šiaulių miesto bendrojo ugdymo mokyklose</t>
  </si>
  <si>
    <t>Mokyklų, kuriose dirba karjeros specialistai, skaičius</t>
  </si>
  <si>
    <t>Karjeros specialistų etatų mokyklose skaičius</t>
  </si>
  <si>
    <t>08-04-13</t>
  </si>
  <si>
    <t>Aprūpinti Šiaulių miesto bendrojo ugdymo mokyklas mokymosi priemonėmis</t>
  </si>
  <si>
    <t>Mokyklų , kurioms skirtos lėšos priemonėms  įsigyti, skaičius</t>
  </si>
  <si>
    <t>08-04-14</t>
  </si>
  <si>
    <t>Įgyvendinti projektą „Ugdymo priemonės mokykloms“</t>
  </si>
  <si>
    <t>09</t>
  </si>
  <si>
    <t>Sveikatos programa</t>
  </si>
  <si>
    <t>09-01</t>
  </si>
  <si>
    <t>Plėtoti asmens ir visuomenės sveikatos priežiūros paslaugas, ugdyti visuomenės poreikį sveikai gyventi</t>
  </si>
  <si>
    <t>Paliatyvios pagalbos, globos, slaugos ir palaikomojo gydymo lovų skaičius, tenkantis 1 tūkst. gyventojų</t>
  </si>
  <si>
    <t>Pacientų, kurie pas šeimos gydytoją patenka per 7 kalendorines dienas, dalis</t>
  </si>
  <si>
    <t>Savižudybių skaičius, tenkantis 100 tūkst. gyventojų</t>
  </si>
  <si>
    <t>09-01-01</t>
  </si>
  <si>
    <t>Užtikrinti Visuomenės sveikatos biuro veiklą</t>
  </si>
  <si>
    <t>Sveikatos skyrius; Šiaulių miesto savivaldybės visuomenės sveikatos biuras</t>
  </si>
  <si>
    <t>Privalomojo mokymo metu mokytų asmenų</t>
  </si>
  <si>
    <t>09-01-02</t>
  </si>
  <si>
    <t xml:space="preserve">Didinti visuomenės sveikatos stiprinimo paslaugų teikimo aprėptį </t>
  </si>
  <si>
    <t>Šiaulių miesto savivaldybės visuomenės sveikatos biuras; Sveikatos skyrius</t>
  </si>
  <si>
    <t>Ugdymo įstaigų, kuriose vykdytos visuomenės sveikatos priežiūros funkcijos, skaičius</t>
  </si>
  <si>
    <t>Mokinių, dalyvavusių sveikatinimo veiklose ugdymo įstaigose, skaičius</t>
  </si>
  <si>
    <t>Parengta stebėsenos ataskaita su pasiūlymais dėl gyventojų sveikatos būklės gerinimo</t>
  </si>
  <si>
    <t>Miesto gyventojų, dalyvavusių sveikatinimo veiklose, skaičius</t>
  </si>
  <si>
    <t>Baseino paslaugas gavusių asmenų skaičius</t>
  </si>
  <si>
    <t>Asmenų, baigusių Širdies ir kraujagyslių ligų ir cukrinio diabeto prevencinę sveikatos stiprinimo programą, skaičius</t>
  </si>
  <si>
    <t>09-01-03</t>
  </si>
  <si>
    <t xml:space="preserve">Užtikrinti platesnį psichoemocinės pagalbos prieinamumą </t>
  </si>
  <si>
    <t>Sveikatos skyrius; Šiaulių miesto savivaldybės visuomenės sveikatos biuras; VšĮ Šiaulių centro poliklinika; VšĮ Dainų pirminės sveikatos priežiūros centras</t>
  </si>
  <si>
    <t>Asmenų, gavusių psichologinės gerovės ir psichikos sveikatos stiprinimo paslaugas, skaičius:</t>
  </si>
  <si>
    <t>Šiaulių miesto savivaldybės visuomenės sveikatos biuras</t>
  </si>
  <si>
    <t>VšĮ Šiaulių centro poliklinikos Psichikos sveikatos centras</t>
  </si>
  <si>
    <t>VšĮ Dainų pirminės sveikatos priežiūros centras</t>
  </si>
  <si>
    <t>Asmenų, dalyvavusių Socialinio recepto iniciatyvoje, skaičius</t>
  </si>
  <si>
    <t>Pravestų mokymų skaičius</t>
  </si>
  <si>
    <t>09-01-04</t>
  </si>
  <si>
    <t xml:space="preserve">Užtikrinti paramos priemonių tuberkulioze sergantiems asmenims įgyvendinimą </t>
  </si>
  <si>
    <t>Tuberkulioze sergančių pacientų, kuriems buvo suteiktos socialinės paramos priemonės tuberkuliozės ambulatorinio gydymo metu, skaičius</t>
  </si>
  <si>
    <t>09-01-05</t>
  </si>
  <si>
    <t>Užtikrinti priklausomybės ligų profilaktikos, diagnostikos ir gydymo kokybės ir prieinamumo gerinimą</t>
  </si>
  <si>
    <t>Sveikatos skyrius; VšĮ Šiaulių centro poliklinika</t>
  </si>
  <si>
    <t>Apsilankymų žemo slenksčio paslaugų kabinetuose skaičius</t>
  </si>
  <si>
    <t>09-01-06</t>
  </si>
  <si>
    <t xml:space="preserve">Didinti sveikatos specialistų teikiamų paslaugų prieinamumą </t>
  </si>
  <si>
    <t>Pritrauktų reikiamos kvalifikacijos sveikatos srities specialistų skaičius</t>
  </si>
  <si>
    <t>Finansuotų sveikatos mokslų studentų skaičius</t>
  </si>
  <si>
    <t>09-01-07</t>
  </si>
  <si>
    <t>Vykdyti Visuomenės sveikatos rėmimo specialiąją programą</t>
  </si>
  <si>
    <t>Sveikatinimo iniciatyvose dalyvavusių asmenų skaičius</t>
  </si>
  <si>
    <t>Gavusių privalomojo profilaktinio aplinkos kenksmingumo pašalinimo paslaugas asmenų skaičius</t>
  </si>
  <si>
    <t>Įvykdytų ligų profilaktikos ir prevencijos priemonių skaičius</t>
  </si>
  <si>
    <t>Kompensuotų sveikatos paslaugų tikslinėms gyventojų grupėms skaičius</t>
  </si>
  <si>
    <t>Stebėtų ir prižiūrėtų maudyklų</t>
  </si>
  <si>
    <t>09-01-08</t>
  </si>
  <si>
    <t>Gerinti medicinos srities įvaizdį visuomenėje</t>
  </si>
  <si>
    <t>Sveikatos skyrius; VšĮ Šiaulių centro poliklinika; VšĮ Dainų pirminės sveikatos priežiūros centras; VšĮ Šiaulių ilgalaikio gydymo ir geriatrijos centras; VšĮ Šiaulių reabilitacijos centras; Šiaulių miesto savivaldybės visuomenės sveikatos biuras</t>
  </si>
  <si>
    <t>Švietimo įstaigų, dalyvavusių sveikatos srities patrauklumo didinimo projektuose, skaičius</t>
  </si>
  <si>
    <t>Daugiašalių bendradarbiavimo iniciatyvų, siekiant gerinti medicinos srities įvaizdį, skaičius</t>
  </si>
  <si>
    <t>09-02</t>
  </si>
  <si>
    <t>Užtikrinti asmens sveikatos priežiūros paslaugų prieinamumą ir kokybę, atnaujinant esamą bei įrengiant naują infrastruktūrą</t>
  </si>
  <si>
    <t>Savivaldybės sveikatos įstaigų pastatų, kurie yra geros būklės, skaičius</t>
  </si>
  <si>
    <t>Sveikatos įstaigų pastatų skaičius</t>
  </si>
  <si>
    <t>09-02-03</t>
  </si>
  <si>
    <t>Įgyvendinti projektą „VšĮ Šiaulių ilgalaikio gydymo ir geriatrijos centro pastatų rekonstravimas, aktyvios ventiliacijos įrengimas, kiemo gerbūvio sutvarkymas ir maisto gamybos skyriaus modernizavimas"</t>
  </si>
  <si>
    <t>Sveikatos skyrius; VšĮ Šiaulių ilgalaikio gydymo ir geriatrijos centras</t>
  </si>
  <si>
    <t>Atlikta naujojo korpuso dalies rekuperavimo ir kondicionavimo sistemos įrengimo darbų dalis</t>
  </si>
  <si>
    <t>Atlikta fasado šiltinimo ir atnaujinimo darbų dalis</t>
  </si>
  <si>
    <t>Atlikta gerbūvio, cokolio šiltinimo darbų dalis</t>
  </si>
  <si>
    <t>09-02-04</t>
  </si>
  <si>
    <t>Modernizuoti VšĮ Šiaulių centro polikliniką</t>
  </si>
  <si>
    <t>Atlikta rekuperavimo ir kondicionavimo sistemos pagrindiniame poliklinikos korpuse įrengimo darbų dalis</t>
  </si>
  <si>
    <t>Parengtas pastato Vytauto g. 101 šiltinimo ir atnaujinimo darbų statybos projektas</t>
  </si>
  <si>
    <t>Atlikta pastato Vytauto g. 101 šiltinimo ir atnaujinimo darbų dalis</t>
  </si>
  <si>
    <t>09-02-05</t>
  </si>
  <si>
    <t>Didinti VšĮ Dainų pirminės sveikatos priežiūros centro funkcionalumą</t>
  </si>
  <si>
    <t>Sveikatos skyrius; VšĮ Dainų pirminės sveikatos priežiūros centras</t>
  </si>
  <si>
    <t>Modernizuota pastato Aido g. 16 A dalis</t>
  </si>
  <si>
    <t>Sutvarkytos viešo naudojimo šaligatvių dangos plotas</t>
  </si>
  <si>
    <t>Sutvarkytas aplinkos aptvarų plotas</t>
  </si>
  <si>
    <t>Parengtas statybos projektas</t>
  </si>
  <si>
    <t>09-02-06</t>
  </si>
  <si>
    <t>Įgyvendinti projektą „Sveikatos centrų sudėtyje teikiamų sveikatos priežiūros paslaugų infrastruktūros modernizavimas Šiaulių miesto savivaldybėje“</t>
  </si>
  <si>
    <t>Sveikatos skyrius; Viešųjų investicijų skyrius</t>
  </si>
  <si>
    <t>Įsigytos įrangos ir baldų dalis</t>
  </si>
  <si>
    <t>Įsigytų automobilių skaičius</t>
  </si>
  <si>
    <t>09-02-07</t>
  </si>
  <si>
    <t>Įgyvendinti projektą „Ilgalaikės priežiūros dienos centrų įrengimas, mobilių komandų aprūpinimas įranga ir transporto priemonėmis“</t>
  </si>
  <si>
    <t>Įkurtų specializuotų dienos priežiūros centrų skaičius</t>
  </si>
  <si>
    <t>Sukurtų mobilių komandų skaičius</t>
  </si>
  <si>
    <t>Įsigyta įrangos</t>
  </si>
  <si>
    <t>Modernizuoto ilgalaikės priežiūros dienos centro talpumas dienai</t>
  </si>
  <si>
    <t>09-02-08</t>
  </si>
  <si>
    <t>Įgyvendinti projektą „Sveikatos specialistų rengimas, pritraukimas Šiaulių miesto savivaldybėje"</t>
  </si>
  <si>
    <t>Pritraukti specialistai</t>
  </si>
  <si>
    <t>09-02-09</t>
  </si>
  <si>
    <t>Įgyvendinti projektą „Sveikatos centrų veiklos modelio diegimas Šiaulių miesto savivaldybėje"</t>
  </si>
  <si>
    <t>Įsigytos prietaisų ir programėlių, skirtų pacientų sveikatos būklei ambulatoriškai ir nuotoliniu būdu stebėti ir vertinti, dalis</t>
  </si>
  <si>
    <t>Specialistai, dalyvavę kvalifikacijos tobulinimo ar perkvalifikavimo veiklose</t>
  </si>
  <si>
    <t>Asmenys, dalyvavę veiklose, skirtose lėtinei ligai savarankiškai valdyti</t>
  </si>
  <si>
    <t>Parengtas sveikatos centro veiklos koordinavimo procesus reglamentuojantis dokumentas</t>
  </si>
  <si>
    <t>1.</t>
  </si>
  <si>
    <t>SAVIVALDYBĖS BIUDŽETAS IŠ VISO, IŠ JO:</t>
  </si>
  <si>
    <t>Savivaldybės biudžeto lėšos (SB)</t>
  </si>
  <si>
    <t>Lėšos ugdymo reikmėms VB (UR)</t>
  </si>
  <si>
    <t>Lėšos valstybinėms funkcijoms VB (VF)</t>
  </si>
  <si>
    <t>Valstybės biudžeto lėšos (VB)</t>
  </si>
  <si>
    <t>Kelių priežiūros ir plėtros programos lėšos VB (KPPP)</t>
  </si>
  <si>
    <t>Europos Sąjungos lėšos (ES)</t>
  </si>
  <si>
    <t>Įstaigos pajamų lėšos (PL)</t>
  </si>
  <si>
    <t>Aplinkos apsaugos rėmimo specialiosios programos lėšos SB (AA)</t>
  </si>
  <si>
    <t>2.</t>
  </si>
  <si>
    <t>KITOS LĖŠOS IŠ VISO, IŠ JŲ:</t>
  </si>
  <si>
    <t>Valstybės biudžeto lėšos KT (VB)</t>
  </si>
  <si>
    <t>Europos Sąjungos lėšos KT (ES)</t>
  </si>
  <si>
    <t>Kitų šaltinių lėšos KT (KL)</t>
  </si>
  <si>
    <t>IŠ VISO programai finansuoti pagal finansavimo šaltinius:</t>
  </si>
  <si>
    <t>Socialinių paslaugų skyrius, Socialinių išmokų ir kompensacijų skyrius</t>
  </si>
  <si>
    <t>Ekonomikos skyrius; Kultūros skyrius</t>
  </si>
  <si>
    <t xml:space="preserve">Gyventojų informavimo ir komunikacijos paslaugų skaičius, kurias teikiant pasitelkiami dirbtinio intelekto sprendimai  </t>
  </si>
  <si>
    <t xml:space="preserve">Savivaldybės įstaigų dalis, kurių internetiniai portalai pritaikyti skirtingas negalias turintiems asmenims </t>
  </si>
  <si>
    <t>Švietimo skyrius; Turto valdymo skyrius; Viešųjų investicijų skyrius</t>
  </si>
  <si>
    <t>Įsigyta įrangos dalis</t>
  </si>
  <si>
    <t xml:space="preserve">Patalpų, skirtų bendruomenių, NVO susirinkimų,  veiklos vykdymo poreikiams tenkinti mikrorajonuose, skaičius </t>
  </si>
  <si>
    <t xml:space="preserve">Įkurtų naujų atvirų jaunimo erdvių, centrų skaičius </t>
  </si>
  <si>
    <t xml:space="preserve">Atnaujinta atviro jaunimo centro infrastruktūra </t>
  </si>
  <si>
    <t>Mokamų šalies informacijos kanaluose paviešintų turinio vienetų (straipsnių, reklamų maketų, TV laidų, reportažų ir kt.) skaičius</t>
  </si>
  <si>
    <t xml:space="preserve">Mokamų užsienio informacijos kanaluose paviešintų turinio vienetų (straipsnių, reklamų maketų, TV laidų, reportažų ir kt.) skaičius </t>
  </si>
  <si>
    <t xml:space="preserve">Įdiegta kultūros ir sporto renginių platforma </t>
  </si>
  <si>
    <t>ŠIAULIŲ MIESTO SAVIVALDYBĖS 2025-2027 METŲ STRATEGINIO VEIKLOS PLANO PROGRAMŲ UŽDAVINIAI, PRIEMONĖS, ASIGNAVIMAI IR KITOS LĖŠOS (tūkst. Eur), JŲ STEBĖSENOS RODIKLIAI</t>
  </si>
  <si>
    <t>Rezultato /Produkto /Indėlio</t>
  </si>
  <si>
    <t>Šiaulių miesto savivaldybės 2025-2027 metų</t>
  </si>
  <si>
    <t xml:space="preserve">strateginio veiklos plano </t>
  </si>
  <si>
    <t>1 priedas</t>
  </si>
  <si>
    <t xml:space="preserve">Įrengtas taktilinis infoterminalas </t>
  </si>
  <si>
    <t xml:space="preserve">Integracijos paslaugų teikimo plane numatytų priemonių įgyvendinimas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</si>
</sst>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D8FAD4"/>
        <bgColor rgb="FFD8FAD4"/>
      </patternFill>
    </fill>
    <fill>
      <patternFill patternType="solid">
        <fgColor rgb="FFFAEE80"/>
        <bgColor rgb="FFFAEE80"/>
      </patternFill>
    </fill>
    <fill>
      <patternFill patternType="solid">
        <fgColor rgb="FFD8FAD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EBEBE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14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wrapText="1"/>
    </xf>
    <xf numFmtId="0" fontId="3" fillId="4" borderId="7" xfId="0" applyFont="1" applyFill="1" applyBorder="1" applyAlignment="1" applyProtection="1">
      <alignment vertical="top" wrapText="1" readingOrder="1"/>
      <protection locked="0"/>
    </xf>
    <xf numFmtId="0" fontId="3" fillId="4" borderId="8" xfId="0" applyFont="1" applyFill="1" applyBorder="1" applyAlignment="1" applyProtection="1">
      <alignment vertical="top" wrapText="1" readingOrder="1"/>
      <protection locked="0"/>
    </xf>
    <xf numFmtId="0" fontId="3" fillId="3" borderId="7" xfId="0" applyFont="1" applyFill="1" applyBorder="1" applyAlignment="1" applyProtection="1">
      <alignment vertical="top" wrapText="1" readingOrder="1"/>
      <protection locked="0"/>
    </xf>
    <xf numFmtId="0" fontId="3" fillId="3" borderId="8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7" xfId="0" applyFont="1" applyBorder="1" applyAlignment="1" applyProtection="1">
      <alignment vertical="top" wrapText="1" readingOrder="1"/>
      <protection locked="0"/>
    </xf>
    <xf numFmtId="0" fontId="3" fillId="0" borderId="8" xfId="0" applyFont="1" applyBorder="1" applyAlignment="1" applyProtection="1">
      <alignment vertical="top" wrapText="1" readingOrder="1"/>
      <protection locked="0"/>
    </xf>
    <xf numFmtId="0" fontId="3" fillId="0" borderId="8" xfId="0" applyFont="1" applyBorder="1" applyAlignment="1" applyProtection="1">
      <alignment horizontal="left" vertical="top" wrapText="1" readingOrder="1"/>
      <protection locked="0"/>
    </xf>
    <xf numFmtId="0" fontId="3" fillId="0" borderId="8" xfId="0" applyFont="1" applyBorder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3" fillId="2" borderId="0" xfId="0" applyFont="1" applyFill="1" applyAlignment="1" applyProtection="1">
      <alignment horizontal="left" vertical="top" wrapText="1" readingOrder="1"/>
      <protection locked="0"/>
    </xf>
    <xf numFmtId="0" fontId="3" fillId="2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3" fontId="3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3" fontId="3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6" xfId="0" applyFont="1" applyBorder="1" applyAlignment="1" applyProtection="1">
      <alignment horizontal="center" vertical="top" wrapText="1" readingOrder="1"/>
      <protection locked="0"/>
    </xf>
    <xf numFmtId="0" fontId="3" fillId="0" borderId="9" xfId="0" applyFont="1" applyBorder="1" applyAlignment="1" applyProtection="1">
      <alignment horizontal="center" vertical="top" wrapText="1" readingOrder="1"/>
      <protection locked="0"/>
    </xf>
    <xf numFmtId="0" fontId="3" fillId="3" borderId="9" xfId="0" applyFont="1" applyFill="1" applyBorder="1" applyAlignment="1" applyProtection="1">
      <alignment horizontal="center" vertical="top" wrapText="1" readingOrder="1"/>
      <protection locked="0"/>
    </xf>
    <xf numFmtId="3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1" fontId="3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3" fontId="3" fillId="0" borderId="8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9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>
      <alignment horizontal="center" wrapText="1"/>
    </xf>
    <xf numFmtId="0" fontId="3" fillId="5" borderId="1" xfId="0" applyFont="1" applyFill="1" applyBorder="1" applyAlignment="1" applyProtection="1">
      <alignment horizontal="center" vertical="top" wrapText="1" readingOrder="1"/>
      <protection locked="0"/>
    </xf>
    <xf numFmtId="0" fontId="3" fillId="5" borderId="6" xfId="0" applyFont="1" applyFill="1" applyBorder="1" applyAlignment="1" applyProtection="1">
      <alignment horizontal="center" vertical="top" wrapText="1" readingOrder="1"/>
      <protection locked="0"/>
    </xf>
    <xf numFmtId="3" fontId="3" fillId="5" borderId="1" xfId="0" applyNumberFormat="1" applyFont="1" applyFill="1" applyBorder="1" applyAlignment="1" applyProtection="1">
      <alignment horizontal="center" vertical="top" wrapText="1" readingOrder="1"/>
      <protection locked="0"/>
    </xf>
    <xf numFmtId="3" fontId="3" fillId="5" borderId="6" xfId="0" applyNumberFormat="1" applyFont="1" applyFill="1" applyBorder="1" applyAlignment="1" applyProtection="1">
      <alignment horizontal="center" vertical="top" wrapText="1" readingOrder="1"/>
      <protection locked="0"/>
    </xf>
    <xf numFmtId="1" fontId="3" fillId="5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3" fillId="5" borderId="6" xfId="0" applyNumberFormat="1" applyFont="1" applyFill="1" applyBorder="1" applyAlignment="1" applyProtection="1">
      <alignment horizontal="center" vertical="top" wrapText="1" readingOrder="1"/>
      <protection locked="0"/>
    </xf>
    <xf numFmtId="165" fontId="3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165" fontId="3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165" fontId="3" fillId="5" borderId="1" xfId="0" applyNumberFormat="1" applyFont="1" applyFill="1" applyBorder="1" applyAlignment="1" applyProtection="1">
      <alignment horizontal="center" vertical="top" wrapText="1" readingOrder="1"/>
      <protection locked="0"/>
    </xf>
    <xf numFmtId="165" fontId="3" fillId="5" borderId="6" xfId="0" applyNumberFormat="1" applyFont="1" applyFill="1" applyBorder="1" applyAlignment="1" applyProtection="1">
      <alignment horizontal="center" vertical="top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0" xfId="0" applyFont="1"/>
    <xf numFmtId="0" fontId="2" fillId="7" borderId="1" xfId="0" applyFont="1" applyFill="1" applyBorder="1" applyAlignment="1" applyProtection="1">
      <alignment vertical="top" wrapText="1" readingOrder="1"/>
      <protection locked="0"/>
    </xf>
    <xf numFmtId="0" fontId="2" fillId="7" borderId="1" xfId="0" applyFont="1" applyFill="1" applyBorder="1" applyAlignment="1" applyProtection="1">
      <alignment horizontal="right" vertical="top" wrapText="1" readingOrder="1"/>
      <protection locked="0"/>
    </xf>
    <xf numFmtId="164" fontId="2" fillId="7" borderId="1" xfId="0" applyNumberFormat="1" applyFont="1" applyFill="1" applyBorder="1" applyAlignment="1">
      <alignment horizontal="center" vertical="top" wrapText="1" readingOrder="1"/>
    </xf>
    <xf numFmtId="0" fontId="2" fillId="8" borderId="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 applyProtection="1">
      <alignment vertical="top" wrapText="1" readingOrder="1"/>
      <protection locked="0"/>
    </xf>
    <xf numFmtId="164" fontId="2" fillId="6" borderId="1" xfId="0" applyNumberFormat="1" applyFont="1" applyFill="1" applyBorder="1" applyAlignment="1">
      <alignment horizontal="center" vertical="top" wrapText="1" readingOrder="1"/>
    </xf>
    <xf numFmtId="164" fontId="3" fillId="0" borderId="8" xfId="0" applyNumberFormat="1" applyFont="1" applyBorder="1" applyAlignment="1">
      <alignment horizontal="center" vertical="top" wrapText="1" readingOrder="1"/>
    </xf>
    <xf numFmtId="164" fontId="3" fillId="4" borderId="8" xfId="0" applyNumberFormat="1" applyFont="1" applyFill="1" applyBorder="1" applyAlignment="1">
      <alignment horizontal="center" vertical="top" wrapText="1" readingOrder="1"/>
    </xf>
    <xf numFmtId="164" fontId="3" fillId="3" borderId="8" xfId="0" applyNumberFormat="1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 applyProtection="1">
      <alignment horizontal="center" vertical="top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3" fillId="2" borderId="0" xfId="0" applyNumberFormat="1" applyFont="1" applyFill="1" applyAlignment="1" applyProtection="1">
      <alignment horizontal="center" vertical="top" wrapText="1" readingOrder="1"/>
      <protection locked="0"/>
    </xf>
    <xf numFmtId="0" fontId="3" fillId="0" borderId="3" xfId="0" applyFont="1" applyBorder="1" applyAlignment="1" applyProtection="1">
      <alignment vertical="top" wrapText="1" readingOrder="1"/>
      <protection locked="0"/>
    </xf>
    <xf numFmtId="0" fontId="2" fillId="8" borderId="1" xfId="0" applyFont="1" applyFill="1" applyBorder="1" applyAlignment="1">
      <alignment vertical="center" wrapText="1" readingOrder="1"/>
    </xf>
    <xf numFmtId="164" fontId="2" fillId="6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Border="1" applyAlignment="1" applyProtection="1">
      <alignment vertical="top" wrapText="1" readingOrder="1"/>
      <protection locked="0"/>
    </xf>
    <xf numFmtId="164" fontId="2" fillId="7" borderId="1" xfId="0" applyNumberFormat="1" applyFont="1" applyFill="1" applyBorder="1" applyAlignment="1">
      <alignment vertical="top" wrapText="1" readingOrder="1"/>
    </xf>
    <xf numFmtId="0" fontId="3" fillId="0" borderId="0" xfId="0" applyFont="1" applyAlignment="1">
      <alignment vertical="center"/>
    </xf>
    <xf numFmtId="0" fontId="3" fillId="3" borderId="8" xfId="0" applyFont="1" applyFill="1" applyBorder="1" applyAlignment="1" applyProtection="1">
      <alignment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vertical="top" wrapText="1" readingOrder="1"/>
      <protection locked="0"/>
    </xf>
    <xf numFmtId="0" fontId="5" fillId="0" borderId="8" xfId="0" applyFont="1" applyBorder="1" applyAlignment="1" applyProtection="1">
      <alignment vertical="top" wrapText="1" readingOrder="1"/>
      <protection locked="0"/>
    </xf>
    <xf numFmtId="0" fontId="5" fillId="0" borderId="8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vertical="top" wrapText="1" readingOrder="1"/>
      <protection locked="0"/>
    </xf>
    <xf numFmtId="0" fontId="3" fillId="0" borderId="14" xfId="0" applyFont="1" applyBorder="1" applyAlignment="1" applyProtection="1">
      <alignment horizontal="left" vertical="top" wrapText="1" readingOrder="1"/>
      <protection locked="0"/>
    </xf>
    <xf numFmtId="0" fontId="3" fillId="0" borderId="22" xfId="0" applyFont="1" applyBorder="1" applyAlignment="1" applyProtection="1">
      <alignment horizontal="left" vertical="top" wrapText="1" readingOrder="1"/>
      <protection locked="0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23" xfId="0" applyFont="1" applyBorder="1" applyAlignment="1" applyProtection="1">
      <alignment horizontal="left" vertical="top" wrapText="1" readingOrder="1"/>
      <protection locked="0"/>
    </xf>
    <xf numFmtId="0" fontId="3" fillId="0" borderId="24" xfId="0" applyFont="1" applyBorder="1" applyAlignment="1" applyProtection="1">
      <alignment horizontal="left" vertical="top" wrapText="1" readingOrder="1"/>
      <protection locked="0"/>
    </xf>
    <xf numFmtId="0" fontId="3" fillId="0" borderId="25" xfId="0" applyFont="1" applyBorder="1" applyAlignment="1" applyProtection="1">
      <alignment horizontal="left" vertical="top" wrapText="1" readingOrder="1"/>
      <protection locked="0"/>
    </xf>
    <xf numFmtId="0" fontId="3" fillId="3" borderId="14" xfId="0" applyFont="1" applyFill="1" applyBorder="1" applyAlignment="1" applyProtection="1">
      <alignment horizontal="left" vertical="top" wrapText="1" readingOrder="1"/>
      <protection locked="0"/>
    </xf>
    <xf numFmtId="0" fontId="3" fillId="3" borderId="15" xfId="0" applyFont="1" applyFill="1" applyBorder="1" applyAlignment="1" applyProtection="1">
      <alignment horizontal="left" vertical="top" wrapText="1" readingOrder="1"/>
      <protection locked="0"/>
    </xf>
    <xf numFmtId="0" fontId="3" fillId="3" borderId="16" xfId="0" applyFont="1" applyFill="1" applyBorder="1" applyAlignment="1" applyProtection="1">
      <alignment horizontal="left" vertical="top" wrapText="1" readingOrder="1"/>
      <protection locked="0"/>
    </xf>
    <xf numFmtId="0" fontId="3" fillId="3" borderId="17" xfId="0" applyFont="1" applyFill="1" applyBorder="1" applyAlignment="1" applyProtection="1">
      <alignment horizontal="left" vertical="top" wrapText="1" readingOrder="1"/>
      <protection locked="0"/>
    </xf>
    <xf numFmtId="0" fontId="3" fillId="3" borderId="18" xfId="0" applyFont="1" applyFill="1" applyBorder="1" applyAlignment="1" applyProtection="1">
      <alignment horizontal="left" vertical="top" wrapText="1" readingOrder="1"/>
      <protection locked="0"/>
    </xf>
    <xf numFmtId="0" fontId="3" fillId="3" borderId="19" xfId="0" applyFont="1" applyFill="1" applyBorder="1" applyAlignment="1" applyProtection="1">
      <alignment horizontal="left" vertical="top" wrapText="1" readingOrder="1"/>
      <protection locked="0"/>
    </xf>
    <xf numFmtId="0" fontId="3" fillId="3" borderId="20" xfId="0" applyFont="1" applyFill="1" applyBorder="1" applyAlignment="1" applyProtection="1">
      <alignment horizontal="left" vertical="top" wrapText="1" readingOrder="1"/>
      <protection locked="0"/>
    </xf>
    <xf numFmtId="0" fontId="3" fillId="3" borderId="21" xfId="0" applyFont="1" applyFill="1" applyBorder="1" applyAlignment="1" applyProtection="1">
      <alignment horizontal="left" vertical="top" wrapText="1" readingOrder="1"/>
      <protection locked="0"/>
    </xf>
    <xf numFmtId="0" fontId="3" fillId="0" borderId="23" xfId="0" applyFont="1" applyBorder="1" applyAlignment="1" applyProtection="1">
      <alignment vertical="top" wrapText="1" readingOrder="1"/>
      <protection locked="0"/>
    </xf>
    <xf numFmtId="0" fontId="3" fillId="0" borderId="24" xfId="0" applyFont="1" applyBorder="1" applyAlignment="1" applyProtection="1">
      <alignment vertical="top" wrapText="1" readingOrder="1"/>
      <protection locked="0"/>
    </xf>
    <xf numFmtId="0" fontId="3" fillId="0" borderId="25" xfId="0" applyFont="1" applyBorder="1" applyAlignment="1" applyProtection="1">
      <alignment vertical="top" wrapText="1" readingOrder="1"/>
      <protection locked="0"/>
    </xf>
    <xf numFmtId="0" fontId="3" fillId="0" borderId="0" xfId="0" applyFont="1" applyAlignment="1">
      <alignment horizontal="left" wrapText="1"/>
    </xf>
    <xf numFmtId="0" fontId="3" fillId="4" borderId="10" xfId="0" applyFont="1" applyFill="1" applyBorder="1" applyAlignment="1" applyProtection="1">
      <alignment horizontal="center" vertical="top" wrapText="1" readingOrder="1"/>
      <protection locked="0"/>
    </xf>
    <xf numFmtId="0" fontId="3" fillId="4" borderId="11" xfId="0" applyFont="1" applyFill="1" applyBorder="1" applyAlignment="1" applyProtection="1">
      <alignment horizontal="center" vertical="top" wrapText="1" readingOrder="1"/>
      <protection locked="0"/>
    </xf>
    <xf numFmtId="0" fontId="3" fillId="4" borderId="13" xfId="0" applyFont="1" applyFill="1" applyBorder="1" applyAlignment="1" applyProtection="1">
      <alignment horizontal="center" vertical="top" wrapText="1" readingOrder="1"/>
      <protection locked="0"/>
    </xf>
    <xf numFmtId="0" fontId="3" fillId="4" borderId="10" xfId="0" applyFont="1" applyFill="1" applyBorder="1" applyAlignment="1" applyProtection="1">
      <alignment horizontal="left" vertical="top" wrapText="1" readingOrder="1"/>
      <protection locked="0"/>
    </xf>
    <xf numFmtId="0" fontId="3" fillId="4" borderId="11" xfId="0" applyFont="1" applyFill="1" applyBorder="1" applyAlignment="1" applyProtection="1">
      <alignment horizontal="left" vertical="top" wrapText="1" readingOrder="1"/>
      <protection locked="0"/>
    </xf>
    <xf numFmtId="0" fontId="3" fillId="4" borderId="12" xfId="0" applyFont="1" applyFill="1" applyBorder="1" applyAlignment="1" applyProtection="1">
      <alignment horizontal="left" vertical="top" wrapText="1" readingOrder="1"/>
      <protection locked="0"/>
    </xf>
    <xf numFmtId="0" fontId="3" fillId="3" borderId="22" xfId="0" applyFont="1" applyFill="1" applyBorder="1" applyAlignment="1" applyProtection="1">
      <alignment horizontal="left" vertical="top" wrapText="1" readingOrder="1"/>
      <protection locked="0"/>
    </xf>
    <xf numFmtId="0" fontId="3" fillId="3" borderId="26" xfId="0" applyFont="1" applyFill="1" applyBorder="1" applyAlignment="1" applyProtection="1">
      <alignment horizontal="left" vertical="top" wrapText="1" readingOrder="1"/>
      <protection locked="0"/>
    </xf>
    <xf numFmtId="0" fontId="3" fillId="3" borderId="0" xfId="0" applyFont="1" applyFill="1" applyBorder="1" applyAlignment="1" applyProtection="1">
      <alignment horizontal="left" vertical="top" wrapText="1" readingOrder="1"/>
      <protection locked="0"/>
    </xf>
    <xf numFmtId="0" fontId="3" fillId="3" borderId="27" xfId="0" applyFont="1" applyFill="1" applyBorder="1" applyAlignment="1" applyProtection="1">
      <alignment horizontal="left" vertical="top" wrapText="1" readingOrder="1"/>
      <protection locked="0"/>
    </xf>
    <xf numFmtId="0" fontId="3" fillId="0" borderId="31" xfId="0" applyFont="1" applyBorder="1" applyAlignment="1" applyProtection="1">
      <alignment vertical="top" wrapText="1" readingOrder="1"/>
      <protection locked="0"/>
    </xf>
    <xf numFmtId="0" fontId="3" fillId="0" borderId="31" xfId="0" applyFont="1" applyBorder="1" applyAlignment="1" applyProtection="1">
      <alignment horizontal="center" vertical="top" wrapText="1" readingOrder="1"/>
      <protection locked="0"/>
    </xf>
    <xf numFmtId="0" fontId="3" fillId="0" borderId="24" xfId="0" applyFont="1" applyBorder="1" applyAlignment="1" applyProtection="1">
      <alignment horizontal="center" vertical="top" wrapText="1" readingOrder="1"/>
      <protection locked="0"/>
    </xf>
    <xf numFmtId="0" fontId="3" fillId="0" borderId="25" xfId="0" applyFont="1" applyBorder="1" applyAlignment="1" applyProtection="1">
      <alignment horizontal="center" vertical="top" wrapText="1" readingOrder="1"/>
      <protection locked="0"/>
    </xf>
    <xf numFmtId="0" fontId="3" fillId="0" borderId="23" xfId="0" applyFont="1" applyBorder="1" applyAlignment="1" applyProtection="1">
      <alignment horizontal="center" vertical="top" wrapText="1" readingOrder="1"/>
      <protection locked="0"/>
    </xf>
    <xf numFmtId="164" fontId="3" fillId="0" borderId="23" xfId="0" applyNumberFormat="1" applyFont="1" applyBorder="1" applyAlignment="1">
      <alignment horizontal="center" vertical="top" wrapText="1" readingOrder="1"/>
    </xf>
    <xf numFmtId="164" fontId="3" fillId="0" borderId="25" xfId="0" applyNumberFormat="1" applyFont="1" applyBorder="1" applyAlignment="1">
      <alignment horizontal="center" vertical="top" wrapText="1" readingOrder="1"/>
    </xf>
    <xf numFmtId="0" fontId="3" fillId="0" borderId="14" xfId="0" applyFont="1" applyBorder="1" applyAlignment="1" applyProtection="1">
      <alignment vertical="top" wrapText="1" readingOrder="1"/>
      <protection locked="0"/>
    </xf>
    <xf numFmtId="0" fontId="3" fillId="0" borderId="22" xfId="0" applyFont="1" applyBorder="1" applyAlignment="1" applyProtection="1">
      <alignment vertical="top" wrapText="1" readingOrder="1"/>
      <protection locked="0"/>
    </xf>
    <xf numFmtId="0" fontId="3" fillId="0" borderId="15" xfId="0" applyFont="1" applyBorder="1" applyAlignment="1" applyProtection="1">
      <alignment vertical="top" wrapText="1" readingOrder="1"/>
      <protection locked="0"/>
    </xf>
    <xf numFmtId="164" fontId="3" fillId="0" borderId="24" xfId="0" applyNumberFormat="1" applyFont="1" applyBorder="1" applyAlignment="1">
      <alignment horizontal="center" vertical="top" wrapText="1" readingOrder="1"/>
    </xf>
    <xf numFmtId="3" fontId="3" fillId="0" borderId="23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24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25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28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29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30" xfId="0" applyNumberFormat="1" applyFont="1" applyBorder="1" applyAlignment="1" applyProtection="1">
      <alignment horizontal="center" vertical="top" wrapText="1" readingOrder="1"/>
      <protection locked="0"/>
    </xf>
    <xf numFmtId="0" fontId="3" fillId="3" borderId="10" xfId="0" applyFont="1" applyFill="1" applyBorder="1" applyAlignment="1" applyProtection="1">
      <alignment horizontal="left" vertical="top" wrapText="1" readingOrder="1"/>
      <protection locked="0"/>
    </xf>
    <xf numFmtId="0" fontId="3" fillId="3" borderId="11" xfId="0" applyFont="1" applyFill="1" applyBorder="1" applyAlignment="1" applyProtection="1">
      <alignment horizontal="left" vertical="top" wrapText="1" readingOrder="1"/>
      <protection locked="0"/>
    </xf>
    <xf numFmtId="0" fontId="3" fillId="3" borderId="12" xfId="0" applyFont="1" applyFill="1" applyBorder="1" applyAlignment="1" applyProtection="1">
      <alignment horizontal="left" vertical="top" wrapText="1" readingOrder="1"/>
      <protection locked="0"/>
    </xf>
    <xf numFmtId="164" fontId="3" fillId="0" borderId="31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24" xfId="0" applyNumberFormat="1" applyFont="1" applyBorder="1" applyAlignment="1" applyProtection="1">
      <alignment horizontal="center" vertical="top" wrapText="1" readingOrder="1"/>
      <protection locked="0"/>
    </xf>
    <xf numFmtId="164" fontId="3" fillId="0" borderId="25" xfId="0" applyNumberFormat="1" applyFont="1" applyBorder="1" applyAlignment="1" applyProtection="1">
      <alignment horizontal="center" vertical="top" wrapText="1" readingOrder="1"/>
      <protection locked="0"/>
    </xf>
    <xf numFmtId="164" fontId="3" fillId="3" borderId="23" xfId="0" applyNumberFormat="1" applyFont="1" applyFill="1" applyBorder="1" applyAlignment="1">
      <alignment horizontal="center" vertical="top" wrapText="1" readingOrder="1"/>
    </xf>
    <xf numFmtId="164" fontId="3" fillId="3" borderId="25" xfId="0" applyNumberFormat="1" applyFont="1" applyFill="1" applyBorder="1" applyAlignment="1">
      <alignment horizontal="center" vertical="top" wrapText="1" readingOrder="1"/>
    </xf>
    <xf numFmtId="0" fontId="3" fillId="0" borderId="32" xfId="0" applyFont="1" applyBorder="1" applyAlignment="1" applyProtection="1">
      <alignment horizontal="center" vertical="top" wrapText="1" readingOrder="1"/>
      <protection locked="0"/>
    </xf>
    <xf numFmtId="0" fontId="3" fillId="0" borderId="30" xfId="0" applyFont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Alignment="1">
      <alignment horizontal="center" wrapText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top" wrapText="1" readingOrder="1"/>
      <protection locked="0"/>
    </xf>
    <xf numFmtId="0" fontId="3" fillId="0" borderId="29" xfId="0" applyFont="1" applyBorder="1" applyAlignment="1" applyProtection="1">
      <alignment horizontal="center" vertical="top" wrapText="1" readingOrder="1"/>
      <protection locked="0"/>
    </xf>
    <xf numFmtId="0" fontId="5" fillId="0" borderId="23" xfId="0" applyFont="1" applyBorder="1" applyAlignment="1" applyProtection="1">
      <alignment vertical="top" wrapText="1" readingOrder="1"/>
      <protection locked="0"/>
    </xf>
    <xf numFmtId="0" fontId="5" fillId="0" borderId="24" xfId="0" applyFont="1" applyBorder="1" applyAlignment="1" applyProtection="1">
      <alignment vertical="top" wrapText="1" readingOrder="1"/>
      <protection locked="0"/>
    </xf>
    <xf numFmtId="0" fontId="5" fillId="0" borderId="25" xfId="0" applyFont="1" applyBorder="1" applyAlignment="1" applyProtection="1">
      <alignment vertical="top" wrapText="1" readingOrder="1"/>
      <protection locked="0"/>
    </xf>
    <xf numFmtId="164" fontId="3" fillId="3" borderId="24" xfId="0" applyNumberFormat="1" applyFont="1" applyFill="1" applyBorder="1" applyAlignment="1">
      <alignment horizontal="center" vertical="top" wrapText="1" readingOrder="1"/>
    </xf>
    <xf numFmtId="0" fontId="3" fillId="0" borderId="31" xfId="0" applyFont="1" applyBorder="1" applyAlignment="1" applyProtection="1">
      <alignment horizontal="left" vertical="top" wrapText="1" readingOrder="1"/>
      <protection locked="0"/>
    </xf>
    <xf numFmtId="3" fontId="3" fillId="0" borderId="31" xfId="0" applyNumberFormat="1" applyFont="1" applyBorder="1" applyAlignment="1" applyProtection="1">
      <alignment horizontal="center" vertical="top" wrapText="1" readingOrder="1"/>
      <protection locked="0"/>
    </xf>
    <xf numFmtId="3" fontId="3" fillId="0" borderId="32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D8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0"/>
  <sheetViews>
    <sheetView showZeros="0" tabSelected="1" zoomScaleNormal="100" workbookViewId="0">
      <selection activeCell="E638" sqref="E638"/>
    </sheetView>
  </sheetViews>
  <sheetFormatPr defaultRowHeight="15" x14ac:dyDescent="0.25"/>
  <cols>
    <col min="1" max="1" width="9.42578125" style="3" customWidth="1"/>
    <col min="2" max="2" width="31.42578125" style="3" customWidth="1"/>
    <col min="3" max="3" width="29.85546875" style="3" customWidth="1"/>
    <col min="4" max="4" width="11.5703125" style="3" customWidth="1"/>
    <col min="5" max="5" width="11.42578125" style="3" customWidth="1"/>
    <col min="6" max="6" width="12.28515625" style="33" customWidth="1"/>
    <col min="7" max="8" width="12.140625" style="33" customWidth="1"/>
    <col min="9" max="9" width="50.7109375" style="3" customWidth="1"/>
    <col min="10" max="10" width="7.42578125" style="3" customWidth="1"/>
    <col min="11" max="13" width="13" style="33" customWidth="1"/>
  </cols>
  <sheetData>
    <row r="1" spans="1:13" s="45" customFormat="1" ht="17.25" customHeight="1" x14ac:dyDescent="0.25">
      <c r="A1" s="3"/>
      <c r="B1" s="3"/>
      <c r="C1" s="3"/>
      <c r="D1" s="3"/>
      <c r="E1" s="3"/>
      <c r="F1" s="33"/>
      <c r="G1" s="33"/>
      <c r="H1" s="33"/>
      <c r="I1" s="63"/>
      <c r="J1" s="3"/>
      <c r="K1" s="87" t="s">
        <v>1298</v>
      </c>
      <c r="L1" s="87"/>
      <c r="M1" s="87"/>
    </row>
    <row r="2" spans="1:13" s="45" customFormat="1" x14ac:dyDescent="0.25">
      <c r="A2" s="3"/>
      <c r="B2" s="3"/>
      <c r="C2" s="3"/>
      <c r="D2" s="3"/>
      <c r="E2" s="3"/>
      <c r="F2" s="33"/>
      <c r="G2" s="33"/>
      <c r="H2" s="33"/>
      <c r="I2" s="3"/>
      <c r="J2" s="3"/>
      <c r="K2" s="87" t="s">
        <v>1299</v>
      </c>
      <c r="L2" s="87"/>
      <c r="M2" s="87"/>
    </row>
    <row r="3" spans="1:13" s="45" customFormat="1" x14ac:dyDescent="0.25">
      <c r="A3" s="3"/>
      <c r="B3" s="3"/>
      <c r="C3" s="3"/>
      <c r="D3" s="3"/>
      <c r="E3" s="3"/>
      <c r="F3" s="33"/>
      <c r="G3" s="33"/>
      <c r="H3" s="33"/>
      <c r="I3" s="3"/>
      <c r="J3" s="3"/>
      <c r="K3" s="87" t="s">
        <v>1300</v>
      </c>
      <c r="L3" s="87"/>
      <c r="M3" s="87"/>
    </row>
    <row r="4" spans="1:13" s="45" customFormat="1" x14ac:dyDescent="0.25">
      <c r="A4" s="3"/>
      <c r="B4" s="3"/>
      <c r="C4" s="3"/>
      <c r="D4" s="3"/>
      <c r="E4" s="3"/>
      <c r="F4" s="33"/>
      <c r="G4" s="33"/>
      <c r="H4" s="33"/>
      <c r="I4" s="3"/>
      <c r="J4" s="3"/>
      <c r="K4" s="3"/>
      <c r="L4" s="3"/>
      <c r="M4" s="3"/>
    </row>
    <row r="5" spans="1:13" s="1" customFormat="1" x14ac:dyDescent="0.25">
      <c r="A5" s="125" t="s">
        <v>1296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8" spans="1:13" s="18" customFormat="1" x14ac:dyDescent="0.25">
      <c r="A8" s="126" t="s">
        <v>0</v>
      </c>
      <c r="B8" s="129" t="s">
        <v>1</v>
      </c>
      <c r="C8" s="129" t="s">
        <v>2</v>
      </c>
      <c r="D8" s="132" t="s">
        <v>3</v>
      </c>
      <c r="E8" s="132" t="s">
        <v>4</v>
      </c>
      <c r="F8" s="129" t="s">
        <v>5</v>
      </c>
      <c r="G8" s="129" t="s">
        <v>6</v>
      </c>
      <c r="H8" s="129" t="s">
        <v>7</v>
      </c>
      <c r="I8" s="129" t="s">
        <v>1297</v>
      </c>
      <c r="J8" s="135"/>
      <c r="K8" s="135"/>
      <c r="L8" s="135"/>
      <c r="M8" s="136"/>
    </row>
    <row r="9" spans="1:13" s="18" customFormat="1" x14ac:dyDescent="0.25">
      <c r="A9" s="127"/>
      <c r="B9" s="130"/>
      <c r="C9" s="130"/>
      <c r="D9" s="133"/>
      <c r="E9" s="133"/>
      <c r="F9" s="130"/>
      <c r="G9" s="130"/>
      <c r="H9" s="130"/>
      <c r="I9" s="133" t="s">
        <v>8</v>
      </c>
      <c r="J9" s="130" t="s">
        <v>9</v>
      </c>
      <c r="K9" s="130" t="s">
        <v>10</v>
      </c>
      <c r="L9" s="137"/>
      <c r="M9" s="138"/>
    </row>
    <row r="10" spans="1:13" s="18" customFormat="1" ht="35.450000000000003" customHeight="1" thickBot="1" x14ac:dyDescent="0.3">
      <c r="A10" s="128"/>
      <c r="B10" s="131"/>
      <c r="C10" s="131"/>
      <c r="D10" s="134"/>
      <c r="E10" s="134"/>
      <c r="F10" s="131"/>
      <c r="G10" s="131"/>
      <c r="H10" s="131"/>
      <c r="I10" s="134"/>
      <c r="J10" s="131"/>
      <c r="K10" s="19" t="s">
        <v>11</v>
      </c>
      <c r="L10" s="19" t="s">
        <v>12</v>
      </c>
      <c r="M10" s="20" t="s">
        <v>13</v>
      </c>
    </row>
    <row r="11" spans="1:13" ht="27" customHeight="1" thickBot="1" x14ac:dyDescent="0.3">
      <c r="A11" s="4" t="s">
        <v>14</v>
      </c>
      <c r="B11" s="5" t="s">
        <v>15</v>
      </c>
      <c r="C11" s="91" t="s">
        <v>16</v>
      </c>
      <c r="D11" s="92"/>
      <c r="E11" s="93"/>
      <c r="F11" s="53">
        <f>F12+F37+F55+F81+F106+F112</f>
        <v>26640.999999999996</v>
      </c>
      <c r="G11" s="53">
        <f>G12+G37+G55+G81+G106+G112</f>
        <v>28113.199999999997</v>
      </c>
      <c r="H11" s="53">
        <f>H12+H37+H55+H81+H106+H112</f>
        <v>31026.399999999994</v>
      </c>
      <c r="I11" s="88"/>
      <c r="J11" s="89"/>
      <c r="K11" s="89"/>
      <c r="L11" s="89"/>
      <c r="M11" s="90"/>
    </row>
    <row r="12" spans="1:13" ht="30" x14ac:dyDescent="0.25">
      <c r="A12" s="76" t="s">
        <v>17</v>
      </c>
      <c r="B12" s="78" t="s">
        <v>18</v>
      </c>
      <c r="C12" s="79"/>
      <c r="D12" s="79"/>
      <c r="E12" s="80"/>
      <c r="F12" s="54">
        <f>F13+F14+F22+F27+F29+F36</f>
        <v>521.6</v>
      </c>
      <c r="G12" s="54">
        <f>G13+G14+G22+G27+G29+G36</f>
        <v>886.9</v>
      </c>
      <c r="H12" s="54">
        <f>H13+H14+H22+H27+H29+H36</f>
        <v>183.1</v>
      </c>
      <c r="I12" s="64" t="s">
        <v>19</v>
      </c>
      <c r="J12" s="7" t="s">
        <v>20</v>
      </c>
      <c r="K12" s="21">
        <v>1035.2</v>
      </c>
      <c r="L12" s="21">
        <v>1082.5</v>
      </c>
      <c r="M12" s="22">
        <v>1054.7</v>
      </c>
    </row>
    <row r="13" spans="1:13" ht="30.75" thickBot="1" x14ac:dyDescent="0.3">
      <c r="A13" s="77"/>
      <c r="B13" s="81"/>
      <c r="C13" s="82"/>
      <c r="D13" s="82"/>
      <c r="E13" s="83"/>
      <c r="F13" s="55">
        <v>0</v>
      </c>
      <c r="G13" s="55">
        <v>0</v>
      </c>
      <c r="H13" s="55">
        <v>0</v>
      </c>
      <c r="I13" s="65" t="s">
        <v>21</v>
      </c>
      <c r="J13" s="34" t="s">
        <v>22</v>
      </c>
      <c r="K13" s="34"/>
      <c r="L13" s="34">
        <v>16</v>
      </c>
      <c r="M13" s="35">
        <v>15</v>
      </c>
    </row>
    <row r="14" spans="1:13" ht="45" x14ac:dyDescent="0.25">
      <c r="A14" s="70" t="s">
        <v>23</v>
      </c>
      <c r="B14" s="73" t="s">
        <v>24</v>
      </c>
      <c r="C14" s="73" t="s">
        <v>25</v>
      </c>
      <c r="D14" s="11"/>
      <c r="E14" s="11"/>
      <c r="F14" s="52">
        <f>SUM(F15:F21)</f>
        <v>142.19999999999999</v>
      </c>
      <c r="G14" s="52">
        <f>SUM(G15:G21)</f>
        <v>709.19999999999993</v>
      </c>
      <c r="H14" s="52">
        <f>SUM(H15:H21)</f>
        <v>0</v>
      </c>
      <c r="I14" s="11" t="s">
        <v>26</v>
      </c>
      <c r="J14" s="13" t="s">
        <v>27</v>
      </c>
      <c r="K14" s="13">
        <v>30</v>
      </c>
      <c r="L14" s="13">
        <v>30</v>
      </c>
      <c r="M14" s="24">
        <v>30</v>
      </c>
    </row>
    <row r="15" spans="1:13" ht="30" x14ac:dyDescent="0.25">
      <c r="A15" s="71"/>
      <c r="B15" s="74"/>
      <c r="C15" s="74"/>
      <c r="D15" s="8" t="s">
        <v>28</v>
      </c>
      <c r="E15" s="8"/>
      <c r="F15" s="44">
        <v>9</v>
      </c>
      <c r="G15" s="44">
        <v>117.8</v>
      </c>
      <c r="H15" s="44">
        <v>0</v>
      </c>
      <c r="I15" s="8" t="s">
        <v>29</v>
      </c>
      <c r="J15" s="9" t="s">
        <v>27</v>
      </c>
      <c r="K15" s="9">
        <v>99</v>
      </c>
      <c r="L15" s="9">
        <v>100</v>
      </c>
      <c r="M15" s="23">
        <v>100</v>
      </c>
    </row>
    <row r="16" spans="1:13" ht="30" x14ac:dyDescent="0.25">
      <c r="A16" s="71"/>
      <c r="B16" s="74"/>
      <c r="C16" s="74"/>
      <c r="D16" s="98" t="s">
        <v>30</v>
      </c>
      <c r="E16" s="98"/>
      <c r="F16" s="118">
        <v>133.19999999999999</v>
      </c>
      <c r="G16" s="118">
        <v>591.4</v>
      </c>
      <c r="H16" s="118">
        <v>0</v>
      </c>
      <c r="I16" s="8" t="s">
        <v>31</v>
      </c>
      <c r="J16" s="9" t="s">
        <v>27</v>
      </c>
      <c r="K16" s="9">
        <v>20</v>
      </c>
      <c r="L16" s="9">
        <v>25</v>
      </c>
      <c r="M16" s="23">
        <v>30</v>
      </c>
    </row>
    <row r="17" spans="1:13" ht="30" x14ac:dyDescent="0.25">
      <c r="A17" s="71"/>
      <c r="B17" s="74"/>
      <c r="C17" s="74"/>
      <c r="D17" s="85"/>
      <c r="E17" s="85"/>
      <c r="F17" s="119"/>
      <c r="G17" s="119"/>
      <c r="H17" s="119"/>
      <c r="I17" s="8" t="s">
        <v>32</v>
      </c>
      <c r="J17" s="9" t="s">
        <v>27</v>
      </c>
      <c r="K17" s="9">
        <v>5</v>
      </c>
      <c r="L17" s="9">
        <v>8</v>
      </c>
      <c r="M17" s="23">
        <v>10</v>
      </c>
    </row>
    <row r="18" spans="1:13" ht="30" x14ac:dyDescent="0.25">
      <c r="A18" s="71"/>
      <c r="B18" s="74"/>
      <c r="C18" s="74"/>
      <c r="D18" s="85"/>
      <c r="E18" s="85"/>
      <c r="F18" s="119"/>
      <c r="G18" s="119"/>
      <c r="H18" s="119"/>
      <c r="I18" s="8" t="s">
        <v>33</v>
      </c>
      <c r="J18" s="9" t="s">
        <v>27</v>
      </c>
      <c r="K18" s="9">
        <v>50</v>
      </c>
      <c r="L18" s="9">
        <v>60</v>
      </c>
      <c r="M18" s="23">
        <v>65</v>
      </c>
    </row>
    <row r="19" spans="1:13" ht="30" x14ac:dyDescent="0.25">
      <c r="A19" s="71"/>
      <c r="B19" s="74"/>
      <c r="C19" s="74"/>
      <c r="D19" s="85"/>
      <c r="E19" s="85"/>
      <c r="F19" s="119"/>
      <c r="G19" s="119"/>
      <c r="H19" s="119"/>
      <c r="I19" s="8" t="s">
        <v>34</v>
      </c>
      <c r="J19" s="9" t="s">
        <v>27</v>
      </c>
      <c r="K19" s="9">
        <v>30</v>
      </c>
      <c r="L19" s="9">
        <v>30</v>
      </c>
      <c r="M19" s="23">
        <v>35</v>
      </c>
    </row>
    <row r="20" spans="1:13" x14ac:dyDescent="0.25">
      <c r="A20" s="71"/>
      <c r="B20" s="74"/>
      <c r="C20" s="74"/>
      <c r="D20" s="85"/>
      <c r="E20" s="85"/>
      <c r="F20" s="119"/>
      <c r="G20" s="119"/>
      <c r="H20" s="119"/>
      <c r="I20" s="8" t="s">
        <v>35</v>
      </c>
      <c r="J20" s="9" t="s">
        <v>22</v>
      </c>
      <c r="K20" s="9">
        <v>1</v>
      </c>
      <c r="L20" s="9"/>
      <c r="M20" s="23"/>
    </row>
    <row r="21" spans="1:13" ht="30.75" thickBot="1" x14ac:dyDescent="0.3">
      <c r="A21" s="72"/>
      <c r="B21" s="75"/>
      <c r="C21" s="75"/>
      <c r="D21" s="86"/>
      <c r="E21" s="86"/>
      <c r="F21" s="120"/>
      <c r="G21" s="120"/>
      <c r="H21" s="120"/>
      <c r="I21" s="8" t="s">
        <v>36</v>
      </c>
      <c r="J21" s="9" t="s">
        <v>22</v>
      </c>
      <c r="K21" s="9"/>
      <c r="L21" s="9">
        <v>1</v>
      </c>
      <c r="M21" s="23"/>
    </row>
    <row r="22" spans="1:13" ht="30" x14ac:dyDescent="0.25">
      <c r="A22" s="70" t="s">
        <v>37</v>
      </c>
      <c r="B22" s="73" t="s">
        <v>38</v>
      </c>
      <c r="C22" s="73" t="s">
        <v>39</v>
      </c>
      <c r="D22" s="11"/>
      <c r="E22" s="11"/>
      <c r="F22" s="52">
        <f>SUM(F23:F26)</f>
        <v>247</v>
      </c>
      <c r="G22" s="52">
        <f>SUM(G23:G26)</f>
        <v>45</v>
      </c>
      <c r="H22" s="52">
        <f>SUM(H23:H26)</f>
        <v>50</v>
      </c>
      <c r="I22" s="11" t="s">
        <v>40</v>
      </c>
      <c r="J22" s="13" t="s">
        <v>22</v>
      </c>
      <c r="K22" s="13">
        <v>1</v>
      </c>
      <c r="L22" s="13"/>
      <c r="M22" s="24"/>
    </row>
    <row r="23" spans="1:13" ht="30" x14ac:dyDescent="0.25">
      <c r="A23" s="71"/>
      <c r="B23" s="74"/>
      <c r="C23" s="74"/>
      <c r="D23" s="8" t="s">
        <v>30</v>
      </c>
      <c r="E23" s="8"/>
      <c r="F23" s="44">
        <v>87</v>
      </c>
      <c r="G23" s="44">
        <v>0</v>
      </c>
      <c r="H23" s="44">
        <v>0</v>
      </c>
      <c r="I23" s="8" t="s">
        <v>41</v>
      </c>
      <c r="J23" s="9" t="s">
        <v>22</v>
      </c>
      <c r="K23" s="9">
        <v>2</v>
      </c>
      <c r="L23" s="9">
        <v>4</v>
      </c>
      <c r="M23" s="23">
        <v>10</v>
      </c>
    </row>
    <row r="24" spans="1:13" x14ac:dyDescent="0.25">
      <c r="A24" s="71"/>
      <c r="B24" s="74"/>
      <c r="C24" s="74"/>
      <c r="D24" s="98" t="s">
        <v>42</v>
      </c>
      <c r="E24" s="98"/>
      <c r="F24" s="118">
        <v>160</v>
      </c>
      <c r="G24" s="118">
        <v>45</v>
      </c>
      <c r="H24" s="118">
        <v>50</v>
      </c>
      <c r="I24" s="8" t="s">
        <v>1295</v>
      </c>
      <c r="J24" s="9" t="s">
        <v>22</v>
      </c>
      <c r="K24" s="9"/>
      <c r="L24" s="9">
        <v>1</v>
      </c>
      <c r="M24" s="23"/>
    </row>
    <row r="25" spans="1:13" ht="32.25" customHeight="1" x14ac:dyDescent="0.25">
      <c r="A25" s="71"/>
      <c r="B25" s="74"/>
      <c r="C25" s="74"/>
      <c r="D25" s="85"/>
      <c r="E25" s="85"/>
      <c r="F25" s="119"/>
      <c r="G25" s="119"/>
      <c r="H25" s="119"/>
      <c r="I25" s="8" t="s">
        <v>1286</v>
      </c>
      <c r="J25" s="9" t="s">
        <v>22</v>
      </c>
      <c r="K25" s="9"/>
      <c r="L25" s="9"/>
      <c r="M25" s="23">
        <v>1</v>
      </c>
    </row>
    <row r="26" spans="1:13" ht="30.75" thickBot="1" x14ac:dyDescent="0.3">
      <c r="A26" s="72"/>
      <c r="B26" s="75"/>
      <c r="C26" s="75"/>
      <c r="D26" s="86"/>
      <c r="E26" s="86"/>
      <c r="F26" s="120"/>
      <c r="G26" s="120"/>
      <c r="H26" s="120"/>
      <c r="I26" s="8" t="s">
        <v>1287</v>
      </c>
      <c r="J26" s="9" t="s">
        <v>22</v>
      </c>
      <c r="K26" s="9"/>
      <c r="L26" s="9"/>
      <c r="M26" s="23">
        <v>80</v>
      </c>
    </row>
    <row r="27" spans="1:13" ht="30" x14ac:dyDescent="0.25">
      <c r="A27" s="70" t="s">
        <v>43</v>
      </c>
      <c r="B27" s="73" t="s">
        <v>44</v>
      </c>
      <c r="C27" s="73" t="s">
        <v>45</v>
      </c>
      <c r="D27" s="84" t="s">
        <v>42</v>
      </c>
      <c r="E27" s="84"/>
      <c r="F27" s="103">
        <f>SUM(F28:F28)+120</f>
        <v>120</v>
      </c>
      <c r="G27" s="103">
        <f>SUM(G28:G28)+120</f>
        <v>120</v>
      </c>
      <c r="H27" s="103">
        <f>SUM(H28:H28)+120</f>
        <v>120</v>
      </c>
      <c r="I27" s="11" t="s">
        <v>46</v>
      </c>
      <c r="J27" s="13" t="s">
        <v>27</v>
      </c>
      <c r="K27" s="13">
        <v>55</v>
      </c>
      <c r="L27" s="13">
        <v>70</v>
      </c>
      <c r="M27" s="24">
        <v>85</v>
      </c>
    </row>
    <row r="28" spans="1:13" ht="30.75" thickBot="1" x14ac:dyDescent="0.3">
      <c r="A28" s="72"/>
      <c r="B28" s="75"/>
      <c r="C28" s="75"/>
      <c r="D28" s="86"/>
      <c r="E28" s="86"/>
      <c r="F28" s="104"/>
      <c r="G28" s="104"/>
      <c r="H28" s="104"/>
      <c r="I28" s="8" t="s">
        <v>47</v>
      </c>
      <c r="J28" s="9" t="s">
        <v>27</v>
      </c>
      <c r="K28" s="9">
        <v>30</v>
      </c>
      <c r="L28" s="9">
        <v>70</v>
      </c>
      <c r="M28" s="23">
        <v>100</v>
      </c>
    </row>
    <row r="29" spans="1:13" ht="30" x14ac:dyDescent="0.25">
      <c r="A29" s="70" t="s">
        <v>48</v>
      </c>
      <c r="B29" s="73" t="s">
        <v>49</v>
      </c>
      <c r="C29" s="73" t="s">
        <v>50</v>
      </c>
      <c r="D29" s="84" t="s">
        <v>42</v>
      </c>
      <c r="E29" s="84"/>
      <c r="F29" s="103">
        <f>SUM(F30:F35)+12.4</f>
        <v>12.4</v>
      </c>
      <c r="G29" s="103">
        <f>SUM(G30:G35)+12.7</f>
        <v>12.7</v>
      </c>
      <c r="H29" s="103">
        <f>SUM(H30:H35)+13.1</f>
        <v>13.1</v>
      </c>
      <c r="I29" s="11" t="s">
        <v>51</v>
      </c>
      <c r="J29" s="13" t="s">
        <v>22</v>
      </c>
      <c r="K29" s="13">
        <v>1</v>
      </c>
      <c r="L29" s="13">
        <v>1</v>
      </c>
      <c r="M29" s="24">
        <v>1</v>
      </c>
    </row>
    <row r="30" spans="1:13" ht="30" x14ac:dyDescent="0.25">
      <c r="A30" s="71"/>
      <c r="B30" s="74"/>
      <c r="C30" s="74"/>
      <c r="D30" s="85"/>
      <c r="E30" s="85"/>
      <c r="F30" s="108"/>
      <c r="G30" s="108"/>
      <c r="H30" s="108"/>
      <c r="I30" s="8" t="s">
        <v>52</v>
      </c>
      <c r="J30" s="9" t="s">
        <v>27</v>
      </c>
      <c r="K30" s="9">
        <v>100</v>
      </c>
      <c r="L30" s="9">
        <v>100</v>
      </c>
      <c r="M30" s="23">
        <v>100</v>
      </c>
    </row>
    <row r="31" spans="1:13" ht="30" x14ac:dyDescent="0.25">
      <c r="A31" s="71"/>
      <c r="B31" s="74"/>
      <c r="C31" s="74"/>
      <c r="D31" s="85"/>
      <c r="E31" s="85"/>
      <c r="F31" s="108"/>
      <c r="G31" s="108"/>
      <c r="H31" s="108"/>
      <c r="I31" s="8" t="s">
        <v>53</v>
      </c>
      <c r="J31" s="9" t="s">
        <v>22</v>
      </c>
      <c r="K31" s="9">
        <v>2</v>
      </c>
      <c r="L31" s="9">
        <v>2</v>
      </c>
      <c r="M31" s="23">
        <v>2</v>
      </c>
    </row>
    <row r="32" spans="1:13" x14ac:dyDescent="0.25">
      <c r="A32" s="71"/>
      <c r="B32" s="74"/>
      <c r="C32" s="74"/>
      <c r="D32" s="85"/>
      <c r="E32" s="85"/>
      <c r="F32" s="108"/>
      <c r="G32" s="108"/>
      <c r="H32" s="108"/>
      <c r="I32" s="8" t="s">
        <v>54</v>
      </c>
      <c r="J32" s="9" t="s">
        <v>22</v>
      </c>
      <c r="K32" s="9">
        <v>4</v>
      </c>
      <c r="L32" s="9">
        <v>4</v>
      </c>
      <c r="M32" s="23">
        <v>4</v>
      </c>
    </row>
    <row r="33" spans="1:13" ht="30" x14ac:dyDescent="0.25">
      <c r="A33" s="71"/>
      <c r="B33" s="74"/>
      <c r="C33" s="74"/>
      <c r="D33" s="85"/>
      <c r="E33" s="85"/>
      <c r="F33" s="108"/>
      <c r="G33" s="108"/>
      <c r="H33" s="108"/>
      <c r="I33" s="8" t="s">
        <v>55</v>
      </c>
      <c r="J33" s="9" t="s">
        <v>22</v>
      </c>
      <c r="K33" s="9">
        <v>1</v>
      </c>
      <c r="L33" s="9"/>
      <c r="M33" s="23"/>
    </row>
    <row r="34" spans="1:13" ht="45" x14ac:dyDescent="0.25">
      <c r="A34" s="71"/>
      <c r="B34" s="74"/>
      <c r="C34" s="74"/>
      <c r="D34" s="85"/>
      <c r="E34" s="85"/>
      <c r="F34" s="108"/>
      <c r="G34" s="108"/>
      <c r="H34" s="108"/>
      <c r="I34" s="8" t="s">
        <v>56</v>
      </c>
      <c r="J34" s="9" t="s">
        <v>22</v>
      </c>
      <c r="K34" s="9">
        <v>1</v>
      </c>
      <c r="L34" s="9"/>
      <c r="M34" s="23">
        <v>1</v>
      </c>
    </row>
    <row r="35" spans="1:13" ht="45.75" thickBot="1" x14ac:dyDescent="0.3">
      <c r="A35" s="72"/>
      <c r="B35" s="75"/>
      <c r="C35" s="75"/>
      <c r="D35" s="86"/>
      <c r="E35" s="86"/>
      <c r="F35" s="104"/>
      <c r="G35" s="104"/>
      <c r="H35" s="104"/>
      <c r="I35" s="8" t="s">
        <v>57</v>
      </c>
      <c r="J35" s="9" t="s">
        <v>22</v>
      </c>
      <c r="K35" s="9">
        <v>1</v>
      </c>
      <c r="L35" s="9">
        <v>1</v>
      </c>
      <c r="M35" s="23">
        <v>1</v>
      </c>
    </row>
    <row r="36" spans="1:13" ht="45.75" thickBot="1" x14ac:dyDescent="0.3">
      <c r="A36" s="10" t="s">
        <v>58</v>
      </c>
      <c r="B36" s="11" t="s">
        <v>59</v>
      </c>
      <c r="C36" s="12" t="s">
        <v>60</v>
      </c>
      <c r="D36" s="11"/>
      <c r="E36" s="11"/>
      <c r="F36" s="56">
        <v>0</v>
      </c>
      <c r="G36" s="56">
        <v>0</v>
      </c>
      <c r="H36" s="56">
        <v>0</v>
      </c>
      <c r="I36" s="11" t="s">
        <v>61</v>
      </c>
      <c r="J36" s="13" t="s">
        <v>22</v>
      </c>
      <c r="K36" s="13">
        <v>6</v>
      </c>
      <c r="L36" s="13">
        <v>6</v>
      </c>
      <c r="M36" s="24">
        <v>6</v>
      </c>
    </row>
    <row r="37" spans="1:13" ht="45.75" customHeight="1" thickBot="1" x14ac:dyDescent="0.3">
      <c r="A37" s="6" t="s">
        <v>62</v>
      </c>
      <c r="B37" s="115" t="s">
        <v>63</v>
      </c>
      <c r="C37" s="116"/>
      <c r="D37" s="116"/>
      <c r="E37" s="117"/>
      <c r="F37" s="54">
        <f>F38+F42+F45+F46+F49+F50</f>
        <v>446</v>
      </c>
      <c r="G37" s="54">
        <f>G38+G42+G45+G46+G49+G50</f>
        <v>447.6</v>
      </c>
      <c r="H37" s="54">
        <f>H38+H42+H45+H46+H49+H50</f>
        <v>468.9</v>
      </c>
      <c r="I37" s="64" t="s">
        <v>64</v>
      </c>
      <c r="J37" s="7" t="s">
        <v>27</v>
      </c>
      <c r="K37" s="7"/>
      <c r="L37" s="7"/>
      <c r="M37" s="25">
        <v>48</v>
      </c>
    </row>
    <row r="38" spans="1:13" x14ac:dyDescent="0.25">
      <c r="A38" s="70" t="s">
        <v>65</v>
      </c>
      <c r="B38" s="73" t="s">
        <v>66</v>
      </c>
      <c r="C38" s="73" t="s">
        <v>67</v>
      </c>
      <c r="D38" s="11"/>
      <c r="E38" s="11"/>
      <c r="F38" s="52">
        <f>SUM(F39:F41)</f>
        <v>123.6</v>
      </c>
      <c r="G38" s="52">
        <f>SUM(G39:G41)</f>
        <v>123.6</v>
      </c>
      <c r="H38" s="52">
        <f>SUM(H39:H41)</f>
        <v>123.6</v>
      </c>
      <c r="I38" s="11" t="s">
        <v>68</v>
      </c>
      <c r="J38" s="13" t="s">
        <v>22</v>
      </c>
      <c r="K38" s="13">
        <v>12</v>
      </c>
      <c r="L38" s="13">
        <v>12</v>
      </c>
      <c r="M38" s="24">
        <v>12</v>
      </c>
    </row>
    <row r="39" spans="1:13" x14ac:dyDescent="0.25">
      <c r="A39" s="71"/>
      <c r="B39" s="74"/>
      <c r="C39" s="74"/>
      <c r="D39" s="8" t="s">
        <v>28</v>
      </c>
      <c r="E39" s="8"/>
      <c r="F39" s="44">
        <v>73.599999999999994</v>
      </c>
      <c r="G39" s="44">
        <v>73.599999999999994</v>
      </c>
      <c r="H39" s="44">
        <v>73.599999999999994</v>
      </c>
      <c r="I39" s="8" t="s">
        <v>69</v>
      </c>
      <c r="J39" s="9" t="s">
        <v>22</v>
      </c>
      <c r="K39" s="9">
        <v>10</v>
      </c>
      <c r="L39" s="9">
        <v>11</v>
      </c>
      <c r="M39" s="23">
        <v>12</v>
      </c>
    </row>
    <row r="40" spans="1:13" x14ac:dyDescent="0.25">
      <c r="A40" s="71"/>
      <c r="B40" s="74"/>
      <c r="C40" s="74"/>
      <c r="D40" s="98" t="s">
        <v>42</v>
      </c>
      <c r="E40" s="98"/>
      <c r="F40" s="118">
        <v>50</v>
      </c>
      <c r="G40" s="118">
        <v>50</v>
      </c>
      <c r="H40" s="118">
        <v>50</v>
      </c>
      <c r="I40" s="8" t="s">
        <v>70</v>
      </c>
      <c r="J40" s="9" t="s">
        <v>22</v>
      </c>
      <c r="K40" s="9">
        <v>10</v>
      </c>
      <c r="L40" s="9">
        <v>11</v>
      </c>
      <c r="M40" s="23">
        <v>12</v>
      </c>
    </row>
    <row r="41" spans="1:13" ht="30.75" thickBot="1" x14ac:dyDescent="0.3">
      <c r="A41" s="72"/>
      <c r="B41" s="75"/>
      <c r="C41" s="75"/>
      <c r="D41" s="86"/>
      <c r="E41" s="86"/>
      <c r="F41" s="120"/>
      <c r="G41" s="120"/>
      <c r="H41" s="120"/>
      <c r="I41" s="8" t="s">
        <v>1290</v>
      </c>
      <c r="J41" s="9" t="s">
        <v>22</v>
      </c>
      <c r="K41" s="9">
        <v>2</v>
      </c>
      <c r="L41" s="9">
        <v>3</v>
      </c>
      <c r="M41" s="23">
        <v>4</v>
      </c>
    </row>
    <row r="42" spans="1:13" x14ac:dyDescent="0.25">
      <c r="A42" s="70" t="s">
        <v>71</v>
      </c>
      <c r="B42" s="73" t="s">
        <v>72</v>
      </c>
      <c r="C42" s="73" t="s">
        <v>73</v>
      </c>
      <c r="D42" s="84" t="s">
        <v>42</v>
      </c>
      <c r="E42" s="84"/>
      <c r="F42" s="103">
        <f>SUM(F43:F44)+35</f>
        <v>35</v>
      </c>
      <c r="G42" s="103">
        <f>SUM(G43:G44)+35</f>
        <v>35</v>
      </c>
      <c r="H42" s="103">
        <f>SUM(H43:H44)+40</f>
        <v>40</v>
      </c>
      <c r="I42" s="11" t="s">
        <v>68</v>
      </c>
      <c r="J42" s="13" t="s">
        <v>22</v>
      </c>
      <c r="K42" s="13">
        <v>17</v>
      </c>
      <c r="L42" s="13">
        <v>18</v>
      </c>
      <c r="M42" s="24">
        <v>19</v>
      </c>
    </row>
    <row r="43" spans="1:13" x14ac:dyDescent="0.25">
      <c r="A43" s="71"/>
      <c r="B43" s="74"/>
      <c r="C43" s="74"/>
      <c r="D43" s="85"/>
      <c r="E43" s="85"/>
      <c r="F43" s="108"/>
      <c r="G43" s="108"/>
      <c r="H43" s="108"/>
      <c r="I43" s="8" t="s">
        <v>74</v>
      </c>
      <c r="J43" s="9" t="s">
        <v>22</v>
      </c>
      <c r="K43" s="9">
        <v>1</v>
      </c>
      <c r="L43" s="9">
        <v>1</v>
      </c>
      <c r="M43" s="23">
        <v>1</v>
      </c>
    </row>
    <row r="44" spans="1:13" ht="45.75" thickBot="1" x14ac:dyDescent="0.3">
      <c r="A44" s="72"/>
      <c r="B44" s="75"/>
      <c r="C44" s="75"/>
      <c r="D44" s="86"/>
      <c r="E44" s="86"/>
      <c r="F44" s="104"/>
      <c r="G44" s="104"/>
      <c r="H44" s="104"/>
      <c r="I44" s="8" t="s">
        <v>75</v>
      </c>
      <c r="J44" s="9" t="s">
        <v>22</v>
      </c>
      <c r="K44" s="9">
        <v>1</v>
      </c>
      <c r="L44" s="9">
        <v>1</v>
      </c>
      <c r="M44" s="23">
        <v>1</v>
      </c>
    </row>
    <row r="45" spans="1:13" ht="45.75" thickBot="1" x14ac:dyDescent="0.3">
      <c r="A45" s="10" t="s">
        <v>76</v>
      </c>
      <c r="B45" s="11" t="s">
        <v>77</v>
      </c>
      <c r="C45" s="12" t="s">
        <v>78</v>
      </c>
      <c r="D45" s="11" t="s">
        <v>42</v>
      </c>
      <c r="E45" s="11"/>
      <c r="F45" s="56">
        <v>19.399999999999999</v>
      </c>
      <c r="G45" s="56">
        <v>17</v>
      </c>
      <c r="H45" s="56">
        <v>23.3</v>
      </c>
      <c r="I45" s="11" t="s">
        <v>79</v>
      </c>
      <c r="J45" s="13" t="s">
        <v>27</v>
      </c>
      <c r="K45" s="13">
        <v>24</v>
      </c>
      <c r="L45" s="13">
        <v>45</v>
      </c>
      <c r="M45" s="24">
        <v>74</v>
      </c>
    </row>
    <row r="46" spans="1:13" ht="65.25" customHeight="1" x14ac:dyDescent="0.25">
      <c r="A46" s="70" t="s">
        <v>80</v>
      </c>
      <c r="B46" s="73" t="s">
        <v>81</v>
      </c>
      <c r="C46" s="73" t="s">
        <v>82</v>
      </c>
      <c r="D46" s="84" t="s">
        <v>42</v>
      </c>
      <c r="E46" s="84"/>
      <c r="F46" s="103">
        <f>SUM(F47:F48)+220</f>
        <v>220</v>
      </c>
      <c r="G46" s="103">
        <f>SUM(G47:G48)+220</f>
        <v>220</v>
      </c>
      <c r="H46" s="103">
        <f>SUM(H47:H48)+230</f>
        <v>230</v>
      </c>
      <c r="I46" s="11" t="s">
        <v>83</v>
      </c>
      <c r="J46" s="13" t="s">
        <v>22</v>
      </c>
      <c r="K46" s="13">
        <v>3</v>
      </c>
      <c r="L46" s="13">
        <v>3</v>
      </c>
      <c r="M46" s="24">
        <v>3</v>
      </c>
    </row>
    <row r="47" spans="1:13" x14ac:dyDescent="0.25">
      <c r="A47" s="71"/>
      <c r="B47" s="74"/>
      <c r="C47" s="74"/>
      <c r="D47" s="85"/>
      <c r="E47" s="85"/>
      <c r="F47" s="108"/>
      <c r="G47" s="108"/>
      <c r="H47" s="108"/>
      <c r="I47" s="8" t="s">
        <v>84</v>
      </c>
      <c r="J47" s="9" t="s">
        <v>22</v>
      </c>
      <c r="K47" s="9">
        <v>2</v>
      </c>
      <c r="L47" s="9">
        <v>2</v>
      </c>
      <c r="M47" s="23">
        <v>2</v>
      </c>
    </row>
    <row r="48" spans="1:13" ht="30.75" thickBot="1" x14ac:dyDescent="0.3">
      <c r="A48" s="72"/>
      <c r="B48" s="75"/>
      <c r="C48" s="75"/>
      <c r="D48" s="86"/>
      <c r="E48" s="86"/>
      <c r="F48" s="104"/>
      <c r="G48" s="104"/>
      <c r="H48" s="104"/>
      <c r="I48" s="8" t="s">
        <v>85</v>
      </c>
      <c r="J48" s="9" t="s">
        <v>22</v>
      </c>
      <c r="K48" s="26">
        <v>7500</v>
      </c>
      <c r="L48" s="26">
        <v>8000</v>
      </c>
      <c r="M48" s="27">
        <v>8500</v>
      </c>
    </row>
    <row r="49" spans="1:13" ht="30.75" thickBot="1" x14ac:dyDescent="0.3">
      <c r="A49" s="10" t="s">
        <v>86</v>
      </c>
      <c r="B49" s="11" t="s">
        <v>87</v>
      </c>
      <c r="C49" s="12" t="s">
        <v>88</v>
      </c>
      <c r="D49" s="11" t="s">
        <v>42</v>
      </c>
      <c r="E49" s="11"/>
      <c r="F49" s="56">
        <v>43</v>
      </c>
      <c r="G49" s="56">
        <v>47</v>
      </c>
      <c r="H49" s="56">
        <v>52</v>
      </c>
      <c r="I49" s="11" t="s">
        <v>89</v>
      </c>
      <c r="J49" s="13" t="s">
        <v>22</v>
      </c>
      <c r="K49" s="13">
        <v>37</v>
      </c>
      <c r="L49" s="13">
        <v>37</v>
      </c>
      <c r="M49" s="24">
        <v>37</v>
      </c>
    </row>
    <row r="50" spans="1:13" x14ac:dyDescent="0.25">
      <c r="A50" s="70" t="s">
        <v>90</v>
      </c>
      <c r="B50" s="73" t="s">
        <v>91</v>
      </c>
      <c r="C50" s="73" t="s">
        <v>92</v>
      </c>
      <c r="D50" s="84" t="s">
        <v>42</v>
      </c>
      <c r="E50" s="84"/>
      <c r="F50" s="103">
        <f>SUM(F51:F54)+5</f>
        <v>5</v>
      </c>
      <c r="G50" s="103">
        <f>SUM(G51:G54)+5</f>
        <v>5</v>
      </c>
      <c r="H50" s="103">
        <f>SUM(H51:H54)</f>
        <v>0</v>
      </c>
      <c r="I50" s="67" t="s">
        <v>1301</v>
      </c>
      <c r="J50" s="68" t="s">
        <v>22</v>
      </c>
      <c r="K50" s="68">
        <v>1</v>
      </c>
      <c r="L50" s="13"/>
      <c r="M50" s="24"/>
    </row>
    <row r="51" spans="1:13" ht="30" x14ac:dyDescent="0.25">
      <c r="A51" s="71"/>
      <c r="B51" s="74"/>
      <c r="C51" s="74"/>
      <c r="D51" s="85"/>
      <c r="E51" s="85"/>
      <c r="F51" s="108"/>
      <c r="G51" s="108"/>
      <c r="H51" s="108"/>
      <c r="I51" s="8" t="s">
        <v>1302</v>
      </c>
      <c r="J51" s="9" t="s">
        <v>27</v>
      </c>
      <c r="K51" s="9">
        <v>100</v>
      </c>
      <c r="L51" s="9">
        <v>100</v>
      </c>
      <c r="M51" s="23">
        <v>100</v>
      </c>
    </row>
    <row r="52" spans="1:13" ht="45" x14ac:dyDescent="0.25">
      <c r="A52" s="71"/>
      <c r="B52" s="74"/>
      <c r="C52" s="74"/>
      <c r="D52" s="85"/>
      <c r="E52" s="85"/>
      <c r="F52" s="108"/>
      <c r="G52" s="108"/>
      <c r="H52" s="108"/>
      <c r="I52" s="8" t="s">
        <v>94</v>
      </c>
      <c r="J52" s="9" t="s">
        <v>22</v>
      </c>
      <c r="K52" s="9">
        <v>50</v>
      </c>
      <c r="L52" s="9">
        <v>55</v>
      </c>
      <c r="M52" s="23">
        <v>55</v>
      </c>
    </row>
    <row r="53" spans="1:13" ht="31.5" customHeight="1" x14ac:dyDescent="0.25">
      <c r="A53" s="71"/>
      <c r="B53" s="74"/>
      <c r="C53" s="74"/>
      <c r="D53" s="85"/>
      <c r="E53" s="85"/>
      <c r="F53" s="108"/>
      <c r="G53" s="108"/>
      <c r="H53" s="108"/>
      <c r="I53" s="8" t="s">
        <v>95</v>
      </c>
      <c r="J53" s="9" t="s">
        <v>27</v>
      </c>
      <c r="K53" s="9">
        <v>90</v>
      </c>
      <c r="L53" s="9">
        <v>90</v>
      </c>
      <c r="M53" s="23">
        <v>90</v>
      </c>
    </row>
    <row r="54" spans="1:13" ht="30.75" thickBot="1" x14ac:dyDescent="0.3">
      <c r="A54" s="72"/>
      <c r="B54" s="75"/>
      <c r="C54" s="75"/>
      <c r="D54" s="86"/>
      <c r="E54" s="86"/>
      <c r="F54" s="104"/>
      <c r="G54" s="104"/>
      <c r="H54" s="104"/>
      <c r="I54" s="8" t="s">
        <v>96</v>
      </c>
      <c r="J54" s="9" t="s">
        <v>97</v>
      </c>
      <c r="K54" s="9">
        <v>30</v>
      </c>
      <c r="L54" s="9">
        <v>30</v>
      </c>
      <c r="M54" s="23">
        <v>30</v>
      </c>
    </row>
    <row r="55" spans="1:13" ht="30" x14ac:dyDescent="0.25">
      <c r="A55" s="76" t="s">
        <v>98</v>
      </c>
      <c r="B55" s="78" t="s">
        <v>99</v>
      </c>
      <c r="C55" s="79"/>
      <c r="D55" s="79"/>
      <c r="E55" s="80"/>
      <c r="F55" s="121">
        <f>F56+F57+F67+F68+F71+F73+F79+F80</f>
        <v>14667.999999999998</v>
      </c>
      <c r="G55" s="121">
        <f>G56+G57+G67+G68+G71+G73+G79+G80</f>
        <v>14963.100000000002</v>
      </c>
      <c r="H55" s="121">
        <f>H56+H57+H67+H68+H71+H73+H79+H80</f>
        <v>15347.699999999997</v>
      </c>
      <c r="I55" s="64" t="s">
        <v>100</v>
      </c>
      <c r="J55" s="7" t="s">
        <v>22</v>
      </c>
      <c r="K55" s="7">
        <v>295.5</v>
      </c>
      <c r="L55" s="7">
        <v>297.5</v>
      </c>
      <c r="M55" s="25">
        <v>299.5</v>
      </c>
    </row>
    <row r="56" spans="1:13" ht="30.75" thickBot="1" x14ac:dyDescent="0.3">
      <c r="A56" s="77"/>
      <c r="B56" s="81"/>
      <c r="C56" s="82"/>
      <c r="D56" s="82"/>
      <c r="E56" s="83"/>
      <c r="F56" s="122"/>
      <c r="G56" s="122"/>
      <c r="H56" s="122"/>
      <c r="I56" s="65" t="s">
        <v>101</v>
      </c>
      <c r="J56" s="34" t="s">
        <v>22</v>
      </c>
      <c r="K56" s="34">
        <v>2.4</v>
      </c>
      <c r="L56" s="34">
        <v>2.5</v>
      </c>
      <c r="M56" s="35">
        <v>2.5</v>
      </c>
    </row>
    <row r="57" spans="1:13" x14ac:dyDescent="0.25">
      <c r="A57" s="70" t="s">
        <v>102</v>
      </c>
      <c r="B57" s="73" t="s">
        <v>103</v>
      </c>
      <c r="C57" s="73" t="s">
        <v>104</v>
      </c>
      <c r="D57" s="11"/>
      <c r="E57" s="11"/>
      <c r="F57" s="52">
        <f>SUM(F58:F66)</f>
        <v>10700.5</v>
      </c>
      <c r="G57" s="52">
        <f>SUM(G58:G66)</f>
        <v>10954.2</v>
      </c>
      <c r="H57" s="52">
        <f>SUM(H58:H66)</f>
        <v>11221.3</v>
      </c>
      <c r="I57" s="11" t="s">
        <v>105</v>
      </c>
      <c r="J57" s="13" t="s">
        <v>22</v>
      </c>
      <c r="K57" s="13">
        <v>212</v>
      </c>
      <c r="L57" s="13">
        <v>214</v>
      </c>
      <c r="M57" s="24">
        <v>216</v>
      </c>
    </row>
    <row r="58" spans="1:13" ht="30" x14ac:dyDescent="0.25">
      <c r="A58" s="71"/>
      <c r="B58" s="74"/>
      <c r="C58" s="74"/>
      <c r="D58" s="8" t="s">
        <v>42</v>
      </c>
      <c r="E58" s="8"/>
      <c r="F58" s="44">
        <v>10688.6</v>
      </c>
      <c r="G58" s="44">
        <v>10952.7</v>
      </c>
      <c r="H58" s="44">
        <v>11219.8</v>
      </c>
      <c r="I58" s="8" t="s">
        <v>106</v>
      </c>
      <c r="J58" s="9" t="s">
        <v>22</v>
      </c>
      <c r="K58" s="9">
        <v>83.5</v>
      </c>
      <c r="L58" s="9">
        <v>83.5</v>
      </c>
      <c r="M58" s="23">
        <v>83.5</v>
      </c>
    </row>
    <row r="59" spans="1:13" x14ac:dyDescent="0.25">
      <c r="A59" s="71"/>
      <c r="B59" s="74"/>
      <c r="C59" s="74"/>
      <c r="D59" s="8" t="s">
        <v>30</v>
      </c>
      <c r="E59" s="8"/>
      <c r="F59" s="44">
        <v>10.4</v>
      </c>
      <c r="G59" s="44">
        <v>0</v>
      </c>
      <c r="H59" s="44">
        <v>0</v>
      </c>
      <c r="I59" s="8" t="s">
        <v>107</v>
      </c>
      <c r="J59" s="9" t="s">
        <v>27</v>
      </c>
      <c r="K59" s="9">
        <v>100</v>
      </c>
      <c r="L59" s="9">
        <v>100</v>
      </c>
      <c r="M59" s="23">
        <v>100</v>
      </c>
    </row>
    <row r="60" spans="1:13" x14ac:dyDescent="0.25">
      <c r="A60" s="71"/>
      <c r="B60" s="74"/>
      <c r="C60" s="74"/>
      <c r="D60" s="98" t="s">
        <v>108</v>
      </c>
      <c r="E60" s="98"/>
      <c r="F60" s="118">
        <v>1.5</v>
      </c>
      <c r="G60" s="118">
        <v>1.5</v>
      </c>
      <c r="H60" s="118">
        <v>1.5</v>
      </c>
      <c r="I60" s="8" t="s">
        <v>109</v>
      </c>
      <c r="J60" s="9" t="s">
        <v>22</v>
      </c>
      <c r="K60" s="9">
        <v>60</v>
      </c>
      <c r="L60" s="9">
        <v>60</v>
      </c>
      <c r="M60" s="23">
        <v>60</v>
      </c>
    </row>
    <row r="61" spans="1:13" x14ac:dyDescent="0.25">
      <c r="A61" s="71"/>
      <c r="B61" s="74"/>
      <c r="C61" s="74"/>
      <c r="D61" s="85"/>
      <c r="E61" s="85"/>
      <c r="F61" s="119"/>
      <c r="G61" s="119"/>
      <c r="H61" s="119"/>
      <c r="I61" s="8" t="s">
        <v>110</v>
      </c>
      <c r="J61" s="9" t="s">
        <v>22</v>
      </c>
      <c r="K61" s="9">
        <v>3</v>
      </c>
      <c r="L61" s="9">
        <v>6</v>
      </c>
      <c r="M61" s="23">
        <v>3</v>
      </c>
    </row>
    <row r="62" spans="1:13" x14ac:dyDescent="0.25">
      <c r="A62" s="71"/>
      <c r="B62" s="74"/>
      <c r="C62" s="74"/>
      <c r="D62" s="85"/>
      <c r="E62" s="85"/>
      <c r="F62" s="119"/>
      <c r="G62" s="119"/>
      <c r="H62" s="119"/>
      <c r="I62" s="8" t="s">
        <v>111</v>
      </c>
      <c r="J62" s="9" t="s">
        <v>22</v>
      </c>
      <c r="K62" s="9">
        <v>3</v>
      </c>
      <c r="L62" s="9">
        <v>2</v>
      </c>
      <c r="M62" s="23">
        <v>3</v>
      </c>
    </row>
    <row r="63" spans="1:13" x14ac:dyDescent="0.25">
      <c r="A63" s="71"/>
      <c r="B63" s="74"/>
      <c r="C63" s="74"/>
      <c r="D63" s="85"/>
      <c r="E63" s="85"/>
      <c r="F63" s="119"/>
      <c r="G63" s="119"/>
      <c r="H63" s="119"/>
      <c r="I63" s="8" t="s">
        <v>112</v>
      </c>
      <c r="J63" s="9" t="s">
        <v>22</v>
      </c>
      <c r="K63" s="9">
        <v>330</v>
      </c>
      <c r="L63" s="9">
        <v>340</v>
      </c>
      <c r="M63" s="23">
        <v>340</v>
      </c>
    </row>
    <row r="64" spans="1:13" x14ac:dyDescent="0.25">
      <c r="A64" s="71"/>
      <c r="B64" s="74"/>
      <c r="C64" s="74"/>
      <c r="D64" s="85"/>
      <c r="E64" s="85"/>
      <c r="F64" s="119"/>
      <c r="G64" s="119"/>
      <c r="H64" s="119"/>
      <c r="I64" s="8" t="s">
        <v>113</v>
      </c>
      <c r="J64" s="9" t="s">
        <v>22</v>
      </c>
      <c r="K64" s="9">
        <v>60</v>
      </c>
      <c r="L64" s="9">
        <v>100</v>
      </c>
      <c r="M64" s="23">
        <v>420</v>
      </c>
    </row>
    <row r="65" spans="1:13" x14ac:dyDescent="0.25">
      <c r="A65" s="71"/>
      <c r="B65" s="74"/>
      <c r="C65" s="74"/>
      <c r="D65" s="85"/>
      <c r="E65" s="85"/>
      <c r="F65" s="119"/>
      <c r="G65" s="119"/>
      <c r="H65" s="119"/>
      <c r="I65" s="8" t="s">
        <v>114</v>
      </c>
      <c r="J65" s="9" t="s">
        <v>22</v>
      </c>
      <c r="K65" s="9">
        <v>2</v>
      </c>
      <c r="L65" s="9">
        <v>2</v>
      </c>
      <c r="M65" s="23">
        <v>2</v>
      </c>
    </row>
    <row r="66" spans="1:13" ht="15.75" thickBot="1" x14ac:dyDescent="0.3">
      <c r="A66" s="72"/>
      <c r="B66" s="75"/>
      <c r="C66" s="75"/>
      <c r="D66" s="86"/>
      <c r="E66" s="86"/>
      <c r="F66" s="120"/>
      <c r="G66" s="120"/>
      <c r="H66" s="120"/>
      <c r="I66" s="8" t="s">
        <v>115</v>
      </c>
      <c r="J66" s="9" t="s">
        <v>116</v>
      </c>
      <c r="K66" s="9">
        <v>6</v>
      </c>
      <c r="L66" s="9"/>
      <c r="M66" s="23"/>
    </row>
    <row r="67" spans="1:13" ht="48" customHeight="1" thickBot="1" x14ac:dyDescent="0.3">
      <c r="A67" s="10" t="s">
        <v>117</v>
      </c>
      <c r="B67" s="11" t="s">
        <v>118</v>
      </c>
      <c r="C67" s="12" t="s">
        <v>119</v>
      </c>
      <c r="D67" s="11" t="s">
        <v>42</v>
      </c>
      <c r="E67" s="11"/>
      <c r="F67" s="56">
        <v>38</v>
      </c>
      <c r="G67" s="56">
        <v>39.9</v>
      </c>
      <c r="H67" s="56">
        <v>41.8</v>
      </c>
      <c r="I67" s="11" t="s">
        <v>120</v>
      </c>
      <c r="J67" s="13" t="s">
        <v>22</v>
      </c>
      <c r="K67" s="13">
        <v>300</v>
      </c>
      <c r="L67" s="13">
        <v>300</v>
      </c>
      <c r="M67" s="24">
        <v>300</v>
      </c>
    </row>
    <row r="68" spans="1:13" ht="21" customHeight="1" x14ac:dyDescent="0.25">
      <c r="A68" s="70" t="s">
        <v>121</v>
      </c>
      <c r="B68" s="73" t="s">
        <v>122</v>
      </c>
      <c r="C68" s="73" t="s">
        <v>123</v>
      </c>
      <c r="D68" s="84" t="s">
        <v>42</v>
      </c>
      <c r="E68" s="84"/>
      <c r="F68" s="103">
        <f>SUM(F69:F70)+1164.6</f>
        <v>1164.5999999999999</v>
      </c>
      <c r="G68" s="103">
        <f>SUM(G69:G70)+1193.7</f>
        <v>1193.7</v>
      </c>
      <c r="H68" s="103">
        <f>SUM(H69:H70)+1222.8</f>
        <v>1222.8</v>
      </c>
      <c r="I68" s="11" t="s">
        <v>124</v>
      </c>
      <c r="J68" s="13" t="s">
        <v>27</v>
      </c>
      <c r="K68" s="13">
        <v>100</v>
      </c>
      <c r="L68" s="13">
        <v>100</v>
      </c>
      <c r="M68" s="24">
        <v>100</v>
      </c>
    </row>
    <row r="69" spans="1:13" ht="24.75" customHeight="1" x14ac:dyDescent="0.25">
      <c r="A69" s="71"/>
      <c r="B69" s="74"/>
      <c r="C69" s="74"/>
      <c r="D69" s="85"/>
      <c r="E69" s="85"/>
      <c r="F69" s="108"/>
      <c r="G69" s="108"/>
      <c r="H69" s="108"/>
      <c r="I69" s="8" t="s">
        <v>125</v>
      </c>
      <c r="J69" s="9" t="s">
        <v>27</v>
      </c>
      <c r="K69" s="9">
        <v>100</v>
      </c>
      <c r="L69" s="9">
        <v>100</v>
      </c>
      <c r="M69" s="23">
        <v>100</v>
      </c>
    </row>
    <row r="70" spans="1:13" ht="30.75" thickBot="1" x14ac:dyDescent="0.3">
      <c r="A70" s="72"/>
      <c r="B70" s="75"/>
      <c r="C70" s="75"/>
      <c r="D70" s="86"/>
      <c r="E70" s="86"/>
      <c r="F70" s="104"/>
      <c r="G70" s="104"/>
      <c r="H70" s="104"/>
      <c r="I70" s="8" t="s">
        <v>126</v>
      </c>
      <c r="J70" s="9" t="s">
        <v>22</v>
      </c>
      <c r="K70" s="9">
        <v>11</v>
      </c>
      <c r="L70" s="9">
        <v>11</v>
      </c>
      <c r="M70" s="23">
        <v>11</v>
      </c>
    </row>
    <row r="71" spans="1:13" ht="32.25" customHeight="1" x14ac:dyDescent="0.25">
      <c r="A71" s="70" t="s">
        <v>127</v>
      </c>
      <c r="B71" s="73" t="s">
        <v>128</v>
      </c>
      <c r="C71" s="73" t="s">
        <v>129</v>
      </c>
      <c r="D71" s="84" t="s">
        <v>42</v>
      </c>
      <c r="E71" s="84"/>
      <c r="F71" s="103">
        <f>SUM(F72:F72)+376.8</f>
        <v>376.8</v>
      </c>
      <c r="G71" s="103">
        <f>SUM(G72:G72)+386.2</f>
        <v>386.2</v>
      </c>
      <c r="H71" s="103">
        <f>SUM(H72:H72)+395.6</f>
        <v>395.6</v>
      </c>
      <c r="I71" s="11" t="s">
        <v>130</v>
      </c>
      <c r="J71" s="13" t="s">
        <v>22</v>
      </c>
      <c r="K71" s="13">
        <v>5</v>
      </c>
      <c r="L71" s="13">
        <v>5</v>
      </c>
      <c r="M71" s="24">
        <v>5</v>
      </c>
    </row>
    <row r="72" spans="1:13" ht="15.75" thickBot="1" x14ac:dyDescent="0.3">
      <c r="A72" s="72"/>
      <c r="B72" s="75"/>
      <c r="C72" s="75"/>
      <c r="D72" s="86"/>
      <c r="E72" s="86"/>
      <c r="F72" s="104"/>
      <c r="G72" s="104"/>
      <c r="H72" s="104"/>
      <c r="I72" s="8" t="s">
        <v>131</v>
      </c>
      <c r="J72" s="9" t="s">
        <v>22</v>
      </c>
      <c r="K72" s="9">
        <v>10</v>
      </c>
      <c r="L72" s="9">
        <v>10</v>
      </c>
      <c r="M72" s="23">
        <v>10</v>
      </c>
    </row>
    <row r="73" spans="1:13" ht="30" x14ac:dyDescent="0.25">
      <c r="A73" s="70" t="s">
        <v>132</v>
      </c>
      <c r="B73" s="73" t="s">
        <v>133</v>
      </c>
      <c r="C73" s="73" t="s">
        <v>134</v>
      </c>
      <c r="D73" s="11"/>
      <c r="E73" s="11"/>
      <c r="F73" s="52">
        <f>SUM(F74:F78)</f>
        <v>1861.8999999999999</v>
      </c>
      <c r="G73" s="52">
        <f>SUM(G74:G78)</f>
        <v>1908.3999999999999</v>
      </c>
      <c r="H73" s="52">
        <f>SUM(H74:H78)</f>
        <v>1955</v>
      </c>
      <c r="I73" s="11" t="s">
        <v>135</v>
      </c>
      <c r="J73" s="13" t="s">
        <v>27</v>
      </c>
      <c r="K73" s="13">
        <v>100</v>
      </c>
      <c r="L73" s="13">
        <v>100</v>
      </c>
      <c r="M73" s="24">
        <v>100</v>
      </c>
    </row>
    <row r="74" spans="1:13" ht="30" x14ac:dyDescent="0.25">
      <c r="A74" s="71"/>
      <c r="B74" s="74"/>
      <c r="C74" s="74"/>
      <c r="D74" s="8" t="s">
        <v>136</v>
      </c>
      <c r="E74" s="8"/>
      <c r="F74" s="44">
        <v>0.6</v>
      </c>
      <c r="G74" s="44">
        <v>0.6</v>
      </c>
      <c r="H74" s="44">
        <v>0.6</v>
      </c>
      <c r="I74" s="8" t="s">
        <v>137</v>
      </c>
      <c r="J74" s="9" t="s">
        <v>27</v>
      </c>
      <c r="K74" s="9">
        <v>100</v>
      </c>
      <c r="L74" s="9">
        <v>100</v>
      </c>
      <c r="M74" s="23">
        <v>100</v>
      </c>
    </row>
    <row r="75" spans="1:13" ht="30" x14ac:dyDescent="0.25">
      <c r="A75" s="71"/>
      <c r="B75" s="74"/>
      <c r="C75" s="74"/>
      <c r="D75" s="98" t="s">
        <v>42</v>
      </c>
      <c r="E75" s="98"/>
      <c r="F75" s="118">
        <v>1861.3</v>
      </c>
      <c r="G75" s="118">
        <v>1907.8</v>
      </c>
      <c r="H75" s="118">
        <v>1954.4</v>
      </c>
      <c r="I75" s="8" t="s">
        <v>138</v>
      </c>
      <c r="J75" s="9" t="s">
        <v>27</v>
      </c>
      <c r="K75" s="9">
        <v>2</v>
      </c>
      <c r="L75" s="9">
        <v>2</v>
      </c>
      <c r="M75" s="23">
        <v>2</v>
      </c>
    </row>
    <row r="76" spans="1:13" ht="30" x14ac:dyDescent="0.25">
      <c r="A76" s="71"/>
      <c r="B76" s="74"/>
      <c r="C76" s="74"/>
      <c r="D76" s="85"/>
      <c r="E76" s="85"/>
      <c r="F76" s="119"/>
      <c r="G76" s="119"/>
      <c r="H76" s="119"/>
      <c r="I76" s="8" t="s">
        <v>139</v>
      </c>
      <c r="J76" s="9" t="s">
        <v>27</v>
      </c>
      <c r="K76" s="9">
        <v>20</v>
      </c>
      <c r="L76" s="9">
        <v>20</v>
      </c>
      <c r="M76" s="23">
        <v>20</v>
      </c>
    </row>
    <row r="77" spans="1:13" ht="30" x14ac:dyDescent="0.25">
      <c r="A77" s="71"/>
      <c r="B77" s="74"/>
      <c r="C77" s="74"/>
      <c r="D77" s="85"/>
      <c r="E77" s="85"/>
      <c r="F77" s="119"/>
      <c r="G77" s="119"/>
      <c r="H77" s="119"/>
      <c r="I77" s="8" t="s">
        <v>140</v>
      </c>
      <c r="J77" s="9" t="s">
        <v>27</v>
      </c>
      <c r="K77" s="9">
        <v>5</v>
      </c>
      <c r="L77" s="9">
        <v>5</v>
      </c>
      <c r="M77" s="23">
        <v>5</v>
      </c>
    </row>
    <row r="78" spans="1:13" ht="30.75" thickBot="1" x14ac:dyDescent="0.3">
      <c r="A78" s="72"/>
      <c r="B78" s="75"/>
      <c r="C78" s="75"/>
      <c r="D78" s="86"/>
      <c r="E78" s="86"/>
      <c r="F78" s="120"/>
      <c r="G78" s="120"/>
      <c r="H78" s="120"/>
      <c r="I78" s="8" t="s">
        <v>141</v>
      </c>
      <c r="J78" s="9" t="s">
        <v>27</v>
      </c>
      <c r="K78" s="9">
        <v>50</v>
      </c>
      <c r="L78" s="9">
        <v>50</v>
      </c>
      <c r="M78" s="23">
        <v>50</v>
      </c>
    </row>
    <row r="79" spans="1:13" ht="45.75" thickBot="1" x14ac:dyDescent="0.3">
      <c r="A79" s="10" t="s">
        <v>142</v>
      </c>
      <c r="B79" s="11" t="s">
        <v>143</v>
      </c>
      <c r="C79" s="12" t="s">
        <v>144</v>
      </c>
      <c r="D79" s="11" t="s">
        <v>42</v>
      </c>
      <c r="E79" s="11"/>
      <c r="F79" s="56">
        <v>162.9</v>
      </c>
      <c r="G79" s="56">
        <v>96.7</v>
      </c>
      <c r="H79" s="56">
        <v>106.4</v>
      </c>
      <c r="I79" s="11" t="s">
        <v>145</v>
      </c>
      <c r="J79" s="13" t="s">
        <v>27</v>
      </c>
      <c r="K79" s="13">
        <v>100</v>
      </c>
      <c r="L79" s="13">
        <v>100</v>
      </c>
      <c r="M79" s="24">
        <v>100</v>
      </c>
    </row>
    <row r="80" spans="1:13" ht="45.75" thickBot="1" x14ac:dyDescent="0.3">
      <c r="A80" s="10" t="s">
        <v>146</v>
      </c>
      <c r="B80" s="11" t="s">
        <v>147</v>
      </c>
      <c r="C80" s="12" t="s">
        <v>148</v>
      </c>
      <c r="D80" s="11" t="s">
        <v>42</v>
      </c>
      <c r="E80" s="11"/>
      <c r="F80" s="56">
        <v>363.3</v>
      </c>
      <c r="G80" s="56">
        <v>384</v>
      </c>
      <c r="H80" s="56">
        <v>404.8</v>
      </c>
      <c r="I80" s="11" t="s">
        <v>149</v>
      </c>
      <c r="J80" s="13" t="s">
        <v>27</v>
      </c>
      <c r="K80" s="13">
        <v>100</v>
      </c>
      <c r="L80" s="13">
        <v>100</v>
      </c>
      <c r="M80" s="24">
        <v>100</v>
      </c>
    </row>
    <row r="81" spans="1:13" ht="30.75" customHeight="1" thickBot="1" x14ac:dyDescent="0.3">
      <c r="A81" s="6" t="s">
        <v>150</v>
      </c>
      <c r="B81" s="115" t="s">
        <v>151</v>
      </c>
      <c r="C81" s="116"/>
      <c r="D81" s="116"/>
      <c r="E81" s="117"/>
      <c r="F81" s="54">
        <f>F82+F83+F84+F85+F86+F87+F88+F89+F90+F91+F92+F93+F94+F95+F96+F99+F100+F102+F103+F104+F105-0.1</f>
        <v>851.1</v>
      </c>
      <c r="G81" s="54">
        <f>G82+G83+G84+G85+G86+G87+G88+G89+G90+G91+G92+G93+G94+G95+G96+G99+G100+G102+G103+G104+G105-0.1</f>
        <v>851.1</v>
      </c>
      <c r="H81" s="54">
        <f>H82+H83+H84+H85+H86+H87+H88+H89+H90+H91+H92+H93+H94+H95+H96+H99+H100+H102+H103+H104+H105-0.1</f>
        <v>851.1</v>
      </c>
      <c r="I81" s="64" t="s">
        <v>152</v>
      </c>
      <c r="J81" s="7" t="s">
        <v>22</v>
      </c>
      <c r="K81" s="7">
        <v>21</v>
      </c>
      <c r="L81" s="7">
        <v>21</v>
      </c>
      <c r="M81" s="25">
        <v>21</v>
      </c>
    </row>
    <row r="82" spans="1:13" ht="15.75" thickBot="1" x14ac:dyDescent="0.3">
      <c r="A82" s="10" t="s">
        <v>153</v>
      </c>
      <c r="B82" s="11" t="s">
        <v>154</v>
      </c>
      <c r="C82" s="12" t="s">
        <v>60</v>
      </c>
      <c r="D82" s="11" t="s">
        <v>155</v>
      </c>
      <c r="E82" s="11"/>
      <c r="F82" s="56">
        <v>11.5</v>
      </c>
      <c r="G82" s="56">
        <v>11.5</v>
      </c>
      <c r="H82" s="56">
        <v>11.5</v>
      </c>
      <c r="I82" s="11" t="s">
        <v>156</v>
      </c>
      <c r="J82" s="13" t="s">
        <v>27</v>
      </c>
      <c r="K82" s="13">
        <v>100</v>
      </c>
      <c r="L82" s="13">
        <v>100</v>
      </c>
      <c r="M82" s="24">
        <v>100</v>
      </c>
    </row>
    <row r="83" spans="1:13" x14ac:dyDescent="0.25">
      <c r="A83" s="10" t="s">
        <v>157</v>
      </c>
      <c r="B83" s="11" t="s">
        <v>158</v>
      </c>
      <c r="C83" s="12" t="s">
        <v>159</v>
      </c>
      <c r="D83" s="11" t="s">
        <v>155</v>
      </c>
      <c r="E83" s="11"/>
      <c r="F83" s="56">
        <v>0.6</v>
      </c>
      <c r="G83" s="56">
        <v>0.6</v>
      </c>
      <c r="H83" s="56">
        <v>0.6</v>
      </c>
      <c r="I83" s="11" t="s">
        <v>156</v>
      </c>
      <c r="J83" s="13" t="s">
        <v>27</v>
      </c>
      <c r="K83" s="13">
        <v>100</v>
      </c>
      <c r="L83" s="13">
        <v>100</v>
      </c>
      <c r="M83" s="24">
        <v>100</v>
      </c>
    </row>
    <row r="84" spans="1:13" x14ac:dyDescent="0.25">
      <c r="A84" s="10" t="s">
        <v>160</v>
      </c>
      <c r="B84" s="11" t="s">
        <v>161</v>
      </c>
      <c r="C84" s="12" t="s">
        <v>162</v>
      </c>
      <c r="D84" s="11" t="s">
        <v>155</v>
      </c>
      <c r="E84" s="11"/>
      <c r="F84" s="56">
        <v>39.6</v>
      </c>
      <c r="G84" s="56">
        <v>39.6</v>
      </c>
      <c r="H84" s="56">
        <v>39.6</v>
      </c>
      <c r="I84" s="11" t="s">
        <v>156</v>
      </c>
      <c r="J84" s="13" t="s">
        <v>27</v>
      </c>
      <c r="K84" s="13">
        <v>100</v>
      </c>
      <c r="L84" s="13">
        <v>100</v>
      </c>
      <c r="M84" s="24">
        <v>100</v>
      </c>
    </row>
    <row r="85" spans="1:13" x14ac:dyDescent="0.25">
      <c r="A85" s="10" t="s">
        <v>163</v>
      </c>
      <c r="B85" s="11" t="s">
        <v>164</v>
      </c>
      <c r="C85" s="12" t="s">
        <v>165</v>
      </c>
      <c r="D85" s="11" t="s">
        <v>155</v>
      </c>
      <c r="E85" s="11"/>
      <c r="F85" s="56">
        <v>61.1</v>
      </c>
      <c r="G85" s="56">
        <v>61.1</v>
      </c>
      <c r="H85" s="56">
        <v>61.1</v>
      </c>
      <c r="I85" s="11" t="s">
        <v>156</v>
      </c>
      <c r="J85" s="13" t="s">
        <v>27</v>
      </c>
      <c r="K85" s="13">
        <v>100</v>
      </c>
      <c r="L85" s="13">
        <v>100</v>
      </c>
      <c r="M85" s="24">
        <v>100</v>
      </c>
    </row>
    <row r="86" spans="1:13" x14ac:dyDescent="0.25">
      <c r="A86" s="10" t="s">
        <v>166</v>
      </c>
      <c r="B86" s="11" t="s">
        <v>167</v>
      </c>
      <c r="C86" s="12" t="s">
        <v>165</v>
      </c>
      <c r="D86" s="11" t="s">
        <v>155</v>
      </c>
      <c r="E86" s="11"/>
      <c r="F86" s="56">
        <v>2</v>
      </c>
      <c r="G86" s="56">
        <v>2</v>
      </c>
      <c r="H86" s="56">
        <v>2</v>
      </c>
      <c r="I86" s="11" t="s">
        <v>156</v>
      </c>
      <c r="J86" s="13" t="s">
        <v>27</v>
      </c>
      <c r="K86" s="13">
        <v>100</v>
      </c>
      <c r="L86" s="13">
        <v>100</v>
      </c>
      <c r="M86" s="24">
        <v>100</v>
      </c>
    </row>
    <row r="87" spans="1:13" ht="30" x14ac:dyDescent="0.25">
      <c r="A87" s="10" t="s">
        <v>168</v>
      </c>
      <c r="B87" s="11" t="s">
        <v>169</v>
      </c>
      <c r="C87" s="12" t="s">
        <v>170</v>
      </c>
      <c r="D87" s="11" t="s">
        <v>155</v>
      </c>
      <c r="E87" s="11"/>
      <c r="F87" s="56">
        <v>17</v>
      </c>
      <c r="G87" s="56">
        <v>17</v>
      </c>
      <c r="H87" s="56">
        <v>17</v>
      </c>
      <c r="I87" s="11" t="s">
        <v>156</v>
      </c>
      <c r="J87" s="13" t="s">
        <v>27</v>
      </c>
      <c r="K87" s="13">
        <v>100</v>
      </c>
      <c r="L87" s="13">
        <v>100</v>
      </c>
      <c r="M87" s="24">
        <v>100</v>
      </c>
    </row>
    <row r="88" spans="1:13" ht="30" x14ac:dyDescent="0.25">
      <c r="A88" s="10" t="s">
        <v>171</v>
      </c>
      <c r="B88" s="11" t="s">
        <v>172</v>
      </c>
      <c r="C88" s="12" t="s">
        <v>173</v>
      </c>
      <c r="D88" s="11" t="s">
        <v>155</v>
      </c>
      <c r="E88" s="11"/>
      <c r="F88" s="56">
        <v>27.3</v>
      </c>
      <c r="G88" s="56">
        <v>27.3</v>
      </c>
      <c r="H88" s="56">
        <v>27.3</v>
      </c>
      <c r="I88" s="11" t="s">
        <v>156</v>
      </c>
      <c r="J88" s="13" t="s">
        <v>27</v>
      </c>
      <c r="K88" s="13">
        <v>100</v>
      </c>
      <c r="L88" s="13">
        <v>100</v>
      </c>
      <c r="M88" s="24">
        <v>100</v>
      </c>
    </row>
    <row r="89" spans="1:13" x14ac:dyDescent="0.25">
      <c r="A89" s="10" t="s">
        <v>174</v>
      </c>
      <c r="B89" s="11" t="s">
        <v>175</v>
      </c>
      <c r="C89" s="12" t="s">
        <v>60</v>
      </c>
      <c r="D89" s="11" t="s">
        <v>155</v>
      </c>
      <c r="E89" s="11"/>
      <c r="F89" s="56">
        <v>80.599999999999994</v>
      </c>
      <c r="G89" s="56">
        <v>80.599999999999994</v>
      </c>
      <c r="H89" s="56">
        <v>80.599999999999994</v>
      </c>
      <c r="I89" s="11" t="s">
        <v>156</v>
      </c>
      <c r="J89" s="13" t="s">
        <v>27</v>
      </c>
      <c r="K89" s="13">
        <v>100</v>
      </c>
      <c r="L89" s="13">
        <v>100</v>
      </c>
      <c r="M89" s="24">
        <v>100</v>
      </c>
    </row>
    <row r="90" spans="1:13" ht="30" x14ac:dyDescent="0.25">
      <c r="A90" s="10" t="s">
        <v>176</v>
      </c>
      <c r="B90" s="11" t="s">
        <v>177</v>
      </c>
      <c r="C90" s="12" t="s">
        <v>178</v>
      </c>
      <c r="D90" s="11" t="s">
        <v>155</v>
      </c>
      <c r="E90" s="11"/>
      <c r="F90" s="56">
        <v>26.5</v>
      </c>
      <c r="G90" s="56">
        <v>26.5</v>
      </c>
      <c r="H90" s="56">
        <v>26.5</v>
      </c>
      <c r="I90" s="11" t="s">
        <v>156</v>
      </c>
      <c r="J90" s="13" t="s">
        <v>27</v>
      </c>
      <c r="K90" s="13">
        <v>100</v>
      </c>
      <c r="L90" s="13">
        <v>100</v>
      </c>
      <c r="M90" s="24">
        <v>100</v>
      </c>
    </row>
    <row r="91" spans="1:13" ht="30" x14ac:dyDescent="0.25">
      <c r="A91" s="10" t="s">
        <v>179</v>
      </c>
      <c r="B91" s="11" t="s">
        <v>180</v>
      </c>
      <c r="C91" s="12" t="s">
        <v>178</v>
      </c>
      <c r="D91" s="11" t="s">
        <v>155</v>
      </c>
      <c r="E91" s="11"/>
      <c r="F91" s="56">
        <v>115.7</v>
      </c>
      <c r="G91" s="56">
        <v>115.7</v>
      </c>
      <c r="H91" s="56">
        <v>115.7</v>
      </c>
      <c r="I91" s="11" t="s">
        <v>156</v>
      </c>
      <c r="J91" s="13" t="s">
        <v>27</v>
      </c>
      <c r="K91" s="13">
        <v>100</v>
      </c>
      <c r="L91" s="13">
        <v>100</v>
      </c>
      <c r="M91" s="24">
        <v>100</v>
      </c>
    </row>
    <row r="92" spans="1:13" x14ac:dyDescent="0.25">
      <c r="A92" s="10" t="s">
        <v>181</v>
      </c>
      <c r="B92" s="11" t="s">
        <v>182</v>
      </c>
      <c r="C92" s="12" t="s">
        <v>183</v>
      </c>
      <c r="D92" s="11" t="s">
        <v>155</v>
      </c>
      <c r="E92" s="11"/>
      <c r="F92" s="56">
        <v>8</v>
      </c>
      <c r="G92" s="56">
        <v>8</v>
      </c>
      <c r="H92" s="56">
        <v>8</v>
      </c>
      <c r="I92" s="11" t="s">
        <v>156</v>
      </c>
      <c r="J92" s="13" t="s">
        <v>27</v>
      </c>
      <c r="K92" s="13">
        <v>100</v>
      </c>
      <c r="L92" s="13">
        <v>100</v>
      </c>
      <c r="M92" s="24">
        <v>100</v>
      </c>
    </row>
    <row r="93" spans="1:13" ht="30" x14ac:dyDescent="0.25">
      <c r="A93" s="10" t="s">
        <v>184</v>
      </c>
      <c r="B93" s="11" t="s">
        <v>185</v>
      </c>
      <c r="C93" s="12" t="s">
        <v>186</v>
      </c>
      <c r="D93" s="11" t="s">
        <v>155</v>
      </c>
      <c r="E93" s="11"/>
      <c r="F93" s="56">
        <v>11.9</v>
      </c>
      <c r="G93" s="56">
        <v>11.9</v>
      </c>
      <c r="H93" s="56">
        <v>11.9</v>
      </c>
      <c r="I93" s="11" t="s">
        <v>156</v>
      </c>
      <c r="J93" s="13" t="s">
        <v>27</v>
      </c>
      <c r="K93" s="13">
        <v>100</v>
      </c>
      <c r="L93" s="13">
        <v>100</v>
      </c>
      <c r="M93" s="24">
        <v>100</v>
      </c>
    </row>
    <row r="94" spans="1:13" ht="30" x14ac:dyDescent="0.25">
      <c r="A94" s="10" t="s">
        <v>187</v>
      </c>
      <c r="B94" s="11" t="s">
        <v>188</v>
      </c>
      <c r="C94" s="12" t="s">
        <v>189</v>
      </c>
      <c r="D94" s="11" t="s">
        <v>155</v>
      </c>
      <c r="E94" s="11"/>
      <c r="F94" s="56">
        <v>24.4</v>
      </c>
      <c r="G94" s="56">
        <v>24.4</v>
      </c>
      <c r="H94" s="56">
        <v>24.4</v>
      </c>
      <c r="I94" s="11" t="s">
        <v>156</v>
      </c>
      <c r="J94" s="13" t="s">
        <v>27</v>
      </c>
      <c r="K94" s="13">
        <v>100</v>
      </c>
      <c r="L94" s="13">
        <v>100</v>
      </c>
      <c r="M94" s="24">
        <v>100</v>
      </c>
    </row>
    <row r="95" spans="1:13" ht="30.75" thickBot="1" x14ac:dyDescent="0.3">
      <c r="A95" s="10" t="s">
        <v>190</v>
      </c>
      <c r="B95" s="11" t="s">
        <v>191</v>
      </c>
      <c r="C95" s="12" t="s">
        <v>186</v>
      </c>
      <c r="D95" s="11" t="s">
        <v>155</v>
      </c>
      <c r="E95" s="11"/>
      <c r="F95" s="56">
        <v>63.5</v>
      </c>
      <c r="G95" s="56">
        <v>63.5</v>
      </c>
      <c r="H95" s="56">
        <v>63.5</v>
      </c>
      <c r="I95" s="11" t="s">
        <v>156</v>
      </c>
      <c r="J95" s="13" t="s">
        <v>27</v>
      </c>
      <c r="K95" s="13">
        <v>100</v>
      </c>
      <c r="L95" s="13">
        <v>100</v>
      </c>
      <c r="M95" s="24">
        <v>100</v>
      </c>
    </row>
    <row r="96" spans="1:13" x14ac:dyDescent="0.25">
      <c r="A96" s="70" t="s">
        <v>192</v>
      </c>
      <c r="B96" s="73" t="s">
        <v>193</v>
      </c>
      <c r="C96" s="73" t="s">
        <v>186</v>
      </c>
      <c r="D96" s="11"/>
      <c r="E96" s="11"/>
      <c r="F96" s="52">
        <f>SUM(F97:F98)</f>
        <v>120.9</v>
      </c>
      <c r="G96" s="52">
        <f>SUM(G97:G98)</f>
        <v>120.9</v>
      </c>
      <c r="H96" s="52">
        <f>SUM(H97:H98)</f>
        <v>120.9</v>
      </c>
      <c r="I96" s="84" t="s">
        <v>156</v>
      </c>
      <c r="J96" s="102" t="s">
        <v>27</v>
      </c>
      <c r="K96" s="102">
        <v>100</v>
      </c>
      <c r="L96" s="102">
        <v>100</v>
      </c>
      <c r="M96" s="139">
        <v>100</v>
      </c>
    </row>
    <row r="97" spans="1:13" x14ac:dyDescent="0.25">
      <c r="A97" s="71"/>
      <c r="B97" s="74"/>
      <c r="C97" s="74"/>
      <c r="D97" s="8" t="s">
        <v>28</v>
      </c>
      <c r="E97" s="8"/>
      <c r="F97" s="44">
        <v>7.5</v>
      </c>
      <c r="G97" s="44">
        <v>7.5</v>
      </c>
      <c r="H97" s="44">
        <v>7.5</v>
      </c>
      <c r="I97" s="85"/>
      <c r="J97" s="100"/>
      <c r="K97" s="100"/>
      <c r="L97" s="100"/>
      <c r="M97" s="140"/>
    </row>
    <row r="98" spans="1:13" ht="15.75" thickBot="1" x14ac:dyDescent="0.3">
      <c r="A98" s="72"/>
      <c r="B98" s="75"/>
      <c r="C98" s="75"/>
      <c r="D98" s="8" t="s">
        <v>155</v>
      </c>
      <c r="E98" s="8"/>
      <c r="F98" s="44">
        <v>113.4</v>
      </c>
      <c r="G98" s="44">
        <v>113.4</v>
      </c>
      <c r="H98" s="44">
        <v>113.4</v>
      </c>
      <c r="I98" s="86"/>
      <c r="J98" s="101"/>
      <c r="K98" s="101"/>
      <c r="L98" s="101"/>
      <c r="M98" s="124"/>
    </row>
    <row r="99" spans="1:13" ht="45.75" thickBot="1" x14ac:dyDescent="0.3">
      <c r="A99" s="10" t="s">
        <v>194</v>
      </c>
      <c r="B99" s="11" t="s">
        <v>195</v>
      </c>
      <c r="C99" s="12" t="s">
        <v>196</v>
      </c>
      <c r="D99" s="11" t="s">
        <v>155</v>
      </c>
      <c r="E99" s="11"/>
      <c r="F99" s="56">
        <v>2.9</v>
      </c>
      <c r="G99" s="56">
        <v>2.9</v>
      </c>
      <c r="H99" s="56">
        <v>2.9</v>
      </c>
      <c r="I99" s="11" t="s">
        <v>156</v>
      </c>
      <c r="J99" s="13" t="s">
        <v>27</v>
      </c>
      <c r="K99" s="13">
        <v>100</v>
      </c>
      <c r="L99" s="13">
        <v>100</v>
      </c>
      <c r="M99" s="24">
        <v>100</v>
      </c>
    </row>
    <row r="100" spans="1:13" ht="32.25" customHeight="1" x14ac:dyDescent="0.25">
      <c r="A100" s="70" t="s">
        <v>197</v>
      </c>
      <c r="B100" s="73" t="s">
        <v>198</v>
      </c>
      <c r="C100" s="73" t="s">
        <v>199</v>
      </c>
      <c r="D100" s="84" t="s">
        <v>155</v>
      </c>
      <c r="E100" s="84"/>
      <c r="F100" s="103">
        <f>SUM(F101:F101)+2.2</f>
        <v>2.2000000000000002</v>
      </c>
      <c r="G100" s="103">
        <f>SUM(G101:G101)+2.2</f>
        <v>2.2000000000000002</v>
      </c>
      <c r="H100" s="103">
        <f>SUM(H101:H101)+2.2</f>
        <v>2.2000000000000002</v>
      </c>
      <c r="I100" s="11" t="s">
        <v>200</v>
      </c>
      <c r="J100" s="13" t="s">
        <v>22</v>
      </c>
      <c r="K100" s="13">
        <v>2</v>
      </c>
      <c r="L100" s="13">
        <v>2</v>
      </c>
      <c r="M100" s="24">
        <v>2</v>
      </c>
    </row>
    <row r="101" spans="1:13" ht="15.75" thickBot="1" x14ac:dyDescent="0.3">
      <c r="A101" s="72"/>
      <c r="B101" s="75"/>
      <c r="C101" s="75"/>
      <c r="D101" s="86"/>
      <c r="E101" s="86"/>
      <c r="F101" s="104"/>
      <c r="G101" s="104"/>
      <c r="H101" s="104"/>
      <c r="I101" s="8" t="s">
        <v>201</v>
      </c>
      <c r="J101" s="9" t="s">
        <v>22</v>
      </c>
      <c r="K101" s="9">
        <v>280</v>
      </c>
      <c r="L101" s="9">
        <v>280</v>
      </c>
      <c r="M101" s="23">
        <v>280</v>
      </c>
    </row>
    <row r="102" spans="1:13" ht="45.75" thickBot="1" x14ac:dyDescent="0.3">
      <c r="A102" s="10" t="s">
        <v>202</v>
      </c>
      <c r="B102" s="11" t="s">
        <v>203</v>
      </c>
      <c r="C102" s="12" t="s">
        <v>204</v>
      </c>
      <c r="D102" s="11" t="s">
        <v>155</v>
      </c>
      <c r="E102" s="11"/>
      <c r="F102" s="56">
        <v>32.6</v>
      </c>
      <c r="G102" s="56">
        <v>32.6</v>
      </c>
      <c r="H102" s="56">
        <v>32.6</v>
      </c>
      <c r="I102" s="11" t="s">
        <v>156</v>
      </c>
      <c r="J102" s="13" t="s">
        <v>27</v>
      </c>
      <c r="K102" s="13">
        <v>100</v>
      </c>
      <c r="L102" s="13">
        <v>100</v>
      </c>
      <c r="M102" s="24">
        <v>100</v>
      </c>
    </row>
    <row r="103" spans="1:13" ht="30" x14ac:dyDescent="0.25">
      <c r="A103" s="10" t="s">
        <v>205</v>
      </c>
      <c r="B103" s="11" t="s">
        <v>206</v>
      </c>
      <c r="C103" s="12" t="s">
        <v>207</v>
      </c>
      <c r="D103" s="11" t="s">
        <v>155</v>
      </c>
      <c r="E103" s="11"/>
      <c r="F103" s="56">
        <v>39.700000000000003</v>
      </c>
      <c r="G103" s="56">
        <v>39.700000000000003</v>
      </c>
      <c r="H103" s="56">
        <v>39.700000000000003</v>
      </c>
      <c r="I103" s="11" t="s">
        <v>208</v>
      </c>
      <c r="J103" s="13" t="s">
        <v>27</v>
      </c>
      <c r="K103" s="13">
        <v>100</v>
      </c>
      <c r="L103" s="13">
        <v>100</v>
      </c>
      <c r="M103" s="24">
        <v>100</v>
      </c>
    </row>
    <row r="104" spans="1:13" ht="45" x14ac:dyDescent="0.25">
      <c r="A104" s="10" t="s">
        <v>209</v>
      </c>
      <c r="B104" s="11" t="s">
        <v>210</v>
      </c>
      <c r="C104" s="12" t="s">
        <v>211</v>
      </c>
      <c r="D104" s="11" t="s">
        <v>155</v>
      </c>
      <c r="E104" s="11"/>
      <c r="F104" s="56">
        <v>131.69999999999999</v>
      </c>
      <c r="G104" s="56">
        <v>131.69999999999999</v>
      </c>
      <c r="H104" s="56">
        <v>131.69999999999999</v>
      </c>
      <c r="I104" s="11" t="s">
        <v>156</v>
      </c>
      <c r="J104" s="13" t="s">
        <v>27</v>
      </c>
      <c r="K104" s="13">
        <v>100</v>
      </c>
      <c r="L104" s="13">
        <v>100</v>
      </c>
      <c r="M104" s="24">
        <v>100</v>
      </c>
    </row>
    <row r="105" spans="1:13" ht="45.75" thickBot="1" x14ac:dyDescent="0.3">
      <c r="A105" s="10" t="s">
        <v>212</v>
      </c>
      <c r="B105" s="11" t="s">
        <v>213</v>
      </c>
      <c r="C105" s="12" t="s">
        <v>214</v>
      </c>
      <c r="D105" s="11" t="s">
        <v>28</v>
      </c>
      <c r="E105" s="11"/>
      <c r="F105" s="56">
        <v>31.5</v>
      </c>
      <c r="G105" s="56">
        <v>31.5</v>
      </c>
      <c r="H105" s="56">
        <v>31.5</v>
      </c>
      <c r="I105" s="11" t="s">
        <v>156</v>
      </c>
      <c r="J105" s="13" t="s">
        <v>27</v>
      </c>
      <c r="K105" s="13">
        <v>100</v>
      </c>
      <c r="L105" s="13">
        <v>100</v>
      </c>
      <c r="M105" s="24">
        <v>100</v>
      </c>
    </row>
    <row r="106" spans="1:13" ht="30.75" customHeight="1" thickBot="1" x14ac:dyDescent="0.3">
      <c r="A106" s="6" t="s">
        <v>215</v>
      </c>
      <c r="B106" s="115" t="s">
        <v>216</v>
      </c>
      <c r="C106" s="116"/>
      <c r="D106" s="116"/>
      <c r="E106" s="117"/>
      <c r="F106" s="54">
        <f>F107+F109+F110</f>
        <v>9067.5</v>
      </c>
      <c r="G106" s="54">
        <f>G107+G109+G110</f>
        <v>9877.9</v>
      </c>
      <c r="H106" s="54">
        <f>H107+H109+H110</f>
        <v>13089.5</v>
      </c>
      <c r="I106" s="64" t="s">
        <v>218</v>
      </c>
      <c r="J106" s="7" t="s">
        <v>27</v>
      </c>
      <c r="K106" s="7">
        <v>100</v>
      </c>
      <c r="L106" s="7">
        <v>100</v>
      </c>
      <c r="M106" s="25">
        <v>100</v>
      </c>
    </row>
    <row r="107" spans="1:13" ht="30.75" customHeight="1" x14ac:dyDescent="0.25">
      <c r="A107" s="70" t="s">
        <v>219</v>
      </c>
      <c r="B107" s="73" t="s">
        <v>220</v>
      </c>
      <c r="C107" s="73" t="s">
        <v>217</v>
      </c>
      <c r="D107" s="84" t="s">
        <v>42</v>
      </c>
      <c r="E107" s="84"/>
      <c r="F107" s="103">
        <f>SUM(F108:F108)+8722.5</f>
        <v>8722.5</v>
      </c>
      <c r="G107" s="103">
        <f>SUM(G108:G108)+9532.9</f>
        <v>9532.9</v>
      </c>
      <c r="H107" s="103">
        <f>SUM(H108:H108)+12729.5</f>
        <v>12729.5</v>
      </c>
      <c r="I107" s="11" t="s">
        <v>221</v>
      </c>
      <c r="J107" s="13" t="s">
        <v>116</v>
      </c>
      <c r="K107" s="13">
        <v>14</v>
      </c>
      <c r="L107" s="13">
        <v>12</v>
      </c>
      <c r="M107" s="24">
        <v>12</v>
      </c>
    </row>
    <row r="108" spans="1:13" ht="27" customHeight="1" thickBot="1" x14ac:dyDescent="0.3">
      <c r="A108" s="72"/>
      <c r="B108" s="75"/>
      <c r="C108" s="75"/>
      <c r="D108" s="86"/>
      <c r="E108" s="86"/>
      <c r="F108" s="104"/>
      <c r="G108" s="104"/>
      <c r="H108" s="104"/>
      <c r="I108" s="8" t="s">
        <v>222</v>
      </c>
      <c r="J108" s="9" t="s">
        <v>27</v>
      </c>
      <c r="K108" s="9">
        <v>100</v>
      </c>
      <c r="L108" s="9">
        <v>100</v>
      </c>
      <c r="M108" s="23">
        <v>100</v>
      </c>
    </row>
    <row r="109" spans="1:13" ht="30.75" thickBot="1" x14ac:dyDescent="0.3">
      <c r="A109" s="10" t="s">
        <v>223</v>
      </c>
      <c r="B109" s="11" t="s">
        <v>224</v>
      </c>
      <c r="C109" s="12" t="s">
        <v>78</v>
      </c>
      <c r="D109" s="11" t="s">
        <v>42</v>
      </c>
      <c r="E109" s="11"/>
      <c r="F109" s="56">
        <v>200</v>
      </c>
      <c r="G109" s="56">
        <v>200</v>
      </c>
      <c r="H109" s="56">
        <v>200</v>
      </c>
      <c r="I109" s="11" t="s">
        <v>225</v>
      </c>
      <c r="J109" s="13" t="s">
        <v>27</v>
      </c>
      <c r="K109" s="13">
        <v>100</v>
      </c>
      <c r="L109" s="13">
        <v>100</v>
      </c>
      <c r="M109" s="24">
        <v>100</v>
      </c>
    </row>
    <row r="110" spans="1:13" ht="30" x14ac:dyDescent="0.25">
      <c r="A110" s="70" t="s">
        <v>226</v>
      </c>
      <c r="B110" s="73" t="s">
        <v>227</v>
      </c>
      <c r="C110" s="73" t="s">
        <v>228</v>
      </c>
      <c r="D110" s="84" t="s">
        <v>42</v>
      </c>
      <c r="E110" s="84"/>
      <c r="F110" s="103">
        <f>SUM(F111:F111)+145</f>
        <v>145</v>
      </c>
      <c r="G110" s="103">
        <f>SUM(G111:G111)+145</f>
        <v>145</v>
      </c>
      <c r="H110" s="103">
        <f>SUM(H111:H111)+160</f>
        <v>160</v>
      </c>
      <c r="I110" s="11" t="s">
        <v>229</v>
      </c>
      <c r="J110" s="13" t="s">
        <v>27</v>
      </c>
      <c r="K110" s="13">
        <v>100</v>
      </c>
      <c r="L110" s="13">
        <v>100</v>
      </c>
      <c r="M110" s="24">
        <v>100</v>
      </c>
    </row>
    <row r="111" spans="1:13" ht="30.75" thickBot="1" x14ac:dyDescent="0.3">
      <c r="A111" s="72"/>
      <c r="B111" s="75"/>
      <c r="C111" s="75"/>
      <c r="D111" s="86"/>
      <c r="E111" s="86"/>
      <c r="F111" s="104"/>
      <c r="G111" s="104"/>
      <c r="H111" s="104"/>
      <c r="I111" s="8" t="s">
        <v>230</v>
      </c>
      <c r="J111" s="9" t="s">
        <v>116</v>
      </c>
      <c r="K111" s="9">
        <v>73</v>
      </c>
      <c r="L111" s="9">
        <v>73</v>
      </c>
      <c r="M111" s="23">
        <v>73</v>
      </c>
    </row>
    <row r="112" spans="1:13" ht="31.5" customHeight="1" thickBot="1" x14ac:dyDescent="0.3">
      <c r="A112" s="6" t="s">
        <v>231</v>
      </c>
      <c r="B112" s="115" t="s">
        <v>232</v>
      </c>
      <c r="C112" s="116"/>
      <c r="D112" s="116"/>
      <c r="E112" s="117"/>
      <c r="F112" s="54">
        <f>F113+F114+F115+F116+F117+F118+F119+F121+F122</f>
        <v>1086.8</v>
      </c>
      <c r="G112" s="54">
        <f>G113+G114+G115+G116+G117+G118+G119+G121+G122</f>
        <v>1086.5999999999999</v>
      </c>
      <c r="H112" s="54">
        <f>H113+H114+H115+H116+H117+H118+H119+H121+H122</f>
        <v>1086.0999999999999</v>
      </c>
      <c r="I112" s="64" t="s">
        <v>234</v>
      </c>
      <c r="J112" s="7" t="s">
        <v>27</v>
      </c>
      <c r="K112" s="7">
        <v>92</v>
      </c>
      <c r="L112" s="7">
        <v>92</v>
      </c>
      <c r="M112" s="25">
        <v>92</v>
      </c>
    </row>
    <row r="113" spans="1:13" ht="60.75" thickBot="1" x14ac:dyDescent="0.3">
      <c r="A113" s="10" t="s">
        <v>235</v>
      </c>
      <c r="B113" s="11" t="s">
        <v>236</v>
      </c>
      <c r="C113" s="12" t="s">
        <v>233</v>
      </c>
      <c r="D113" s="11" t="s">
        <v>42</v>
      </c>
      <c r="E113" s="11"/>
      <c r="F113" s="56">
        <v>50</v>
      </c>
      <c r="G113" s="56">
        <v>50</v>
      </c>
      <c r="H113" s="56">
        <v>50</v>
      </c>
      <c r="I113" s="11" t="s">
        <v>237</v>
      </c>
      <c r="J113" s="13" t="s">
        <v>22</v>
      </c>
      <c r="K113" s="13">
        <v>100</v>
      </c>
      <c r="L113" s="13">
        <v>100</v>
      </c>
      <c r="M113" s="24">
        <v>100</v>
      </c>
    </row>
    <row r="114" spans="1:13" ht="30" x14ac:dyDescent="0.25">
      <c r="A114" s="10" t="s">
        <v>238</v>
      </c>
      <c r="B114" s="11" t="s">
        <v>239</v>
      </c>
      <c r="C114" s="12" t="s">
        <v>233</v>
      </c>
      <c r="D114" s="11" t="s">
        <v>42</v>
      </c>
      <c r="E114" s="11"/>
      <c r="F114" s="56">
        <v>30</v>
      </c>
      <c r="G114" s="56">
        <v>30</v>
      </c>
      <c r="H114" s="56">
        <v>30</v>
      </c>
      <c r="I114" s="11" t="s">
        <v>240</v>
      </c>
      <c r="J114" s="13" t="s">
        <v>27</v>
      </c>
      <c r="K114" s="13">
        <v>100</v>
      </c>
      <c r="L114" s="13">
        <v>100</v>
      </c>
      <c r="M114" s="24">
        <v>100</v>
      </c>
    </row>
    <row r="115" spans="1:13" ht="75" x14ac:dyDescent="0.25">
      <c r="A115" s="10" t="s">
        <v>241</v>
      </c>
      <c r="B115" s="11" t="s">
        <v>242</v>
      </c>
      <c r="C115" s="12" t="s">
        <v>243</v>
      </c>
      <c r="D115" s="11" t="s">
        <v>42</v>
      </c>
      <c r="E115" s="11"/>
      <c r="F115" s="56">
        <v>70</v>
      </c>
      <c r="G115" s="56">
        <v>70</v>
      </c>
      <c r="H115" s="56">
        <v>70</v>
      </c>
      <c r="I115" s="11" t="s">
        <v>244</v>
      </c>
      <c r="J115" s="13" t="s">
        <v>116</v>
      </c>
      <c r="K115" s="13">
        <v>5</v>
      </c>
      <c r="L115" s="13">
        <v>5</v>
      </c>
      <c r="M115" s="24">
        <v>5</v>
      </c>
    </row>
    <row r="116" spans="1:13" ht="78" customHeight="1" x14ac:dyDescent="0.25">
      <c r="A116" s="10" t="s">
        <v>245</v>
      </c>
      <c r="B116" s="11" t="s">
        <v>246</v>
      </c>
      <c r="C116" s="12" t="s">
        <v>233</v>
      </c>
      <c r="D116" s="11" t="s">
        <v>42</v>
      </c>
      <c r="E116" s="11"/>
      <c r="F116" s="56">
        <v>360</v>
      </c>
      <c r="G116" s="56">
        <v>363</v>
      </c>
      <c r="H116" s="56">
        <v>363</v>
      </c>
      <c r="I116" s="11" t="s">
        <v>247</v>
      </c>
      <c r="J116" s="13" t="s">
        <v>27</v>
      </c>
      <c r="K116" s="13">
        <v>100</v>
      </c>
      <c r="L116" s="13">
        <v>100</v>
      </c>
      <c r="M116" s="24">
        <v>100</v>
      </c>
    </row>
    <row r="117" spans="1:13" ht="45.75" customHeight="1" x14ac:dyDescent="0.25">
      <c r="A117" s="10" t="s">
        <v>248</v>
      </c>
      <c r="B117" s="11" t="s">
        <v>249</v>
      </c>
      <c r="C117" s="12" t="s">
        <v>233</v>
      </c>
      <c r="D117" s="11" t="s">
        <v>42</v>
      </c>
      <c r="E117" s="11"/>
      <c r="F117" s="56">
        <v>54.5</v>
      </c>
      <c r="G117" s="56">
        <v>54.5</v>
      </c>
      <c r="H117" s="56">
        <v>54.5</v>
      </c>
      <c r="I117" s="11" t="s">
        <v>250</v>
      </c>
      <c r="J117" s="13" t="s">
        <v>27</v>
      </c>
      <c r="K117" s="13">
        <v>100</v>
      </c>
      <c r="L117" s="13">
        <v>100</v>
      </c>
      <c r="M117" s="24">
        <v>100</v>
      </c>
    </row>
    <row r="118" spans="1:13" ht="60.75" thickBot="1" x14ac:dyDescent="0.3">
      <c r="A118" s="10" t="s">
        <v>251</v>
      </c>
      <c r="B118" s="11" t="s">
        <v>252</v>
      </c>
      <c r="C118" s="12" t="s">
        <v>233</v>
      </c>
      <c r="D118" s="11" t="s">
        <v>42</v>
      </c>
      <c r="E118" s="11"/>
      <c r="F118" s="56">
        <v>2</v>
      </c>
      <c r="G118" s="56">
        <v>2.5</v>
      </c>
      <c r="H118" s="56">
        <v>2</v>
      </c>
      <c r="I118" s="11" t="s">
        <v>253</v>
      </c>
      <c r="J118" s="13" t="s">
        <v>22</v>
      </c>
      <c r="K118" s="13">
        <v>3</v>
      </c>
      <c r="L118" s="13">
        <v>3</v>
      </c>
      <c r="M118" s="24">
        <v>3</v>
      </c>
    </row>
    <row r="119" spans="1:13" ht="63.75" customHeight="1" x14ac:dyDescent="0.25">
      <c r="A119" s="70" t="s">
        <v>254</v>
      </c>
      <c r="B119" s="73" t="s">
        <v>255</v>
      </c>
      <c r="C119" s="73" t="s">
        <v>233</v>
      </c>
      <c r="D119" s="84" t="s">
        <v>42</v>
      </c>
      <c r="E119" s="84"/>
      <c r="F119" s="103">
        <f>SUM(F120:F120)+440</f>
        <v>440</v>
      </c>
      <c r="G119" s="103">
        <f>SUM(G120:G120)+440</f>
        <v>440</v>
      </c>
      <c r="H119" s="103">
        <f>SUM(H120:H120)+440</f>
        <v>440</v>
      </c>
      <c r="I119" s="11" t="s">
        <v>256</v>
      </c>
      <c r="J119" s="13" t="s">
        <v>22</v>
      </c>
      <c r="K119" s="13">
        <v>50</v>
      </c>
      <c r="L119" s="13">
        <v>60</v>
      </c>
      <c r="M119" s="24">
        <v>60</v>
      </c>
    </row>
    <row r="120" spans="1:13" ht="30.75" thickBot="1" x14ac:dyDescent="0.3">
      <c r="A120" s="72"/>
      <c r="B120" s="75"/>
      <c r="C120" s="75"/>
      <c r="D120" s="86"/>
      <c r="E120" s="86"/>
      <c r="F120" s="104"/>
      <c r="G120" s="104"/>
      <c r="H120" s="104"/>
      <c r="I120" s="8" t="s">
        <v>257</v>
      </c>
      <c r="J120" s="9" t="s">
        <v>22</v>
      </c>
      <c r="K120" s="9">
        <v>850</v>
      </c>
      <c r="L120" s="9">
        <v>850</v>
      </c>
      <c r="M120" s="23">
        <v>850</v>
      </c>
    </row>
    <row r="121" spans="1:13" ht="30.75" thickBot="1" x14ac:dyDescent="0.3">
      <c r="A121" s="10" t="s">
        <v>258</v>
      </c>
      <c r="B121" s="11" t="s">
        <v>259</v>
      </c>
      <c r="C121" s="12" t="s">
        <v>233</v>
      </c>
      <c r="D121" s="11" t="s">
        <v>42</v>
      </c>
      <c r="E121" s="11"/>
      <c r="F121" s="56">
        <v>3</v>
      </c>
      <c r="G121" s="56">
        <v>3</v>
      </c>
      <c r="H121" s="56">
        <v>3</v>
      </c>
      <c r="I121" s="11" t="s">
        <v>260</v>
      </c>
      <c r="J121" s="13" t="s">
        <v>22</v>
      </c>
      <c r="K121" s="13">
        <v>11</v>
      </c>
      <c r="L121" s="13">
        <v>11</v>
      </c>
      <c r="M121" s="24">
        <v>11</v>
      </c>
    </row>
    <row r="122" spans="1:13" ht="30" customHeight="1" x14ac:dyDescent="0.25">
      <c r="A122" s="70" t="s">
        <v>261</v>
      </c>
      <c r="B122" s="73" t="s">
        <v>262</v>
      </c>
      <c r="C122" s="73" t="s">
        <v>233</v>
      </c>
      <c r="D122" s="11"/>
      <c r="E122" s="11"/>
      <c r="F122" s="52">
        <f>SUM(F123:F124)</f>
        <v>77.3</v>
      </c>
      <c r="G122" s="52">
        <f>SUM(G123:G124)</f>
        <v>73.599999999999994</v>
      </c>
      <c r="H122" s="52">
        <f>SUM(H123:H124)</f>
        <v>73.599999999999994</v>
      </c>
      <c r="I122" s="11" t="s">
        <v>263</v>
      </c>
      <c r="J122" s="13" t="s">
        <v>22</v>
      </c>
      <c r="K122" s="13">
        <v>50</v>
      </c>
      <c r="L122" s="13">
        <v>50</v>
      </c>
      <c r="M122" s="24">
        <v>50</v>
      </c>
    </row>
    <row r="123" spans="1:13" ht="30" customHeight="1" x14ac:dyDescent="0.25">
      <c r="A123" s="71"/>
      <c r="B123" s="74"/>
      <c r="C123" s="74"/>
      <c r="D123" s="8" t="s">
        <v>155</v>
      </c>
      <c r="E123" s="8"/>
      <c r="F123" s="44">
        <v>73.599999999999994</v>
      </c>
      <c r="G123" s="44">
        <v>73.599999999999994</v>
      </c>
      <c r="H123" s="44">
        <v>73.599999999999994</v>
      </c>
      <c r="I123" s="98" t="s">
        <v>264</v>
      </c>
      <c r="J123" s="99" t="s">
        <v>22</v>
      </c>
      <c r="K123" s="99">
        <v>2</v>
      </c>
      <c r="L123" s="99">
        <v>2</v>
      </c>
      <c r="M123" s="123">
        <v>2</v>
      </c>
    </row>
    <row r="124" spans="1:13" ht="15.75" thickBot="1" x14ac:dyDescent="0.3">
      <c r="A124" s="72"/>
      <c r="B124" s="75"/>
      <c r="C124" s="75"/>
      <c r="D124" s="8" t="s">
        <v>28</v>
      </c>
      <c r="E124" s="8"/>
      <c r="F124" s="44">
        <v>3.7</v>
      </c>
      <c r="G124" s="44"/>
      <c r="H124" s="44"/>
      <c r="I124" s="86"/>
      <c r="J124" s="101"/>
      <c r="K124" s="101"/>
      <c r="L124" s="101"/>
      <c r="M124" s="124"/>
    </row>
    <row r="125" spans="1:13" ht="27" customHeight="1" thickBot="1" x14ac:dyDescent="0.3">
      <c r="A125" s="4" t="s">
        <v>265</v>
      </c>
      <c r="B125" s="5" t="s">
        <v>266</v>
      </c>
      <c r="C125" s="91" t="s">
        <v>170</v>
      </c>
      <c r="D125" s="92"/>
      <c r="E125" s="93"/>
      <c r="F125" s="53">
        <f>F126+F159</f>
        <v>9652.0999999999985</v>
      </c>
      <c r="G125" s="53">
        <f>G126+G159</f>
        <v>9704.0000000000018</v>
      </c>
      <c r="H125" s="53">
        <f>H126+H159</f>
        <v>9109.5000000000018</v>
      </c>
      <c r="I125" s="88"/>
      <c r="J125" s="89"/>
      <c r="K125" s="89"/>
      <c r="L125" s="89"/>
      <c r="M125" s="90"/>
    </row>
    <row r="126" spans="1:13" x14ac:dyDescent="0.25">
      <c r="A126" s="76" t="s">
        <v>267</v>
      </c>
      <c r="B126" s="78" t="s">
        <v>268</v>
      </c>
      <c r="C126" s="79"/>
      <c r="D126" s="79"/>
      <c r="E126" s="80"/>
      <c r="F126" s="121">
        <f>F127+F128+F129+F130+F131+F132+F133+F134+F143+F144+F149+F153+F157+F158</f>
        <v>8299.7999999999993</v>
      </c>
      <c r="G126" s="121">
        <f>G127+G128+G129+G130+G131+G132+G133+G134+G143+G144+G149+G153+G157+G158</f>
        <v>8534.4000000000015</v>
      </c>
      <c r="H126" s="121">
        <f>H127+H128+H129+H130+H131+H132+H133+H134+H143+H144+H149+H153+H157+H158</f>
        <v>8825.9000000000015</v>
      </c>
      <c r="I126" s="64" t="s">
        <v>269</v>
      </c>
      <c r="J126" s="7" t="s">
        <v>97</v>
      </c>
      <c r="K126" s="21">
        <v>992700</v>
      </c>
      <c r="L126" s="21">
        <v>1002400</v>
      </c>
      <c r="M126" s="22">
        <v>1012100</v>
      </c>
    </row>
    <row r="127" spans="1:13" x14ac:dyDescent="0.25">
      <c r="A127" s="94"/>
      <c r="B127" s="95"/>
      <c r="C127" s="96"/>
      <c r="D127" s="96"/>
      <c r="E127" s="97"/>
      <c r="F127" s="144"/>
      <c r="G127" s="144"/>
      <c r="H127" s="144"/>
      <c r="I127" s="65" t="s">
        <v>270</v>
      </c>
      <c r="J127" s="34" t="s">
        <v>97</v>
      </c>
      <c r="K127" s="36">
        <v>368000</v>
      </c>
      <c r="L127" s="36">
        <v>370000</v>
      </c>
      <c r="M127" s="37">
        <v>372000</v>
      </c>
    </row>
    <row r="128" spans="1:13" x14ac:dyDescent="0.25">
      <c r="A128" s="94"/>
      <c r="B128" s="95"/>
      <c r="C128" s="96"/>
      <c r="D128" s="96"/>
      <c r="E128" s="97"/>
      <c r="F128" s="144"/>
      <c r="G128" s="144"/>
      <c r="H128" s="144"/>
      <c r="I128" s="65" t="s">
        <v>271</v>
      </c>
      <c r="J128" s="34" t="s">
        <v>97</v>
      </c>
      <c r="K128" s="36">
        <v>130200</v>
      </c>
      <c r="L128" s="36">
        <v>131400</v>
      </c>
      <c r="M128" s="37">
        <v>132600</v>
      </c>
    </row>
    <row r="129" spans="1:13" x14ac:dyDescent="0.25">
      <c r="A129" s="94"/>
      <c r="B129" s="95"/>
      <c r="C129" s="96"/>
      <c r="D129" s="96"/>
      <c r="E129" s="97"/>
      <c r="F129" s="144"/>
      <c r="G129" s="144"/>
      <c r="H129" s="144"/>
      <c r="I129" s="65" t="s">
        <v>272</v>
      </c>
      <c r="J129" s="34" t="s">
        <v>97</v>
      </c>
      <c r="K129" s="36">
        <v>63400</v>
      </c>
      <c r="L129" s="36">
        <v>63800</v>
      </c>
      <c r="M129" s="37">
        <v>64200</v>
      </c>
    </row>
    <row r="130" spans="1:13" x14ac:dyDescent="0.25">
      <c r="A130" s="94"/>
      <c r="B130" s="95"/>
      <c r="C130" s="96"/>
      <c r="D130" s="96"/>
      <c r="E130" s="97"/>
      <c r="F130" s="144"/>
      <c r="G130" s="144"/>
      <c r="H130" s="144"/>
      <c r="I130" s="65" t="s">
        <v>273</v>
      </c>
      <c r="J130" s="34" t="s">
        <v>97</v>
      </c>
      <c r="K130" s="36">
        <v>30200</v>
      </c>
      <c r="L130" s="36">
        <v>31400</v>
      </c>
      <c r="M130" s="37">
        <v>32600</v>
      </c>
    </row>
    <row r="131" spans="1:13" x14ac:dyDescent="0.25">
      <c r="A131" s="94"/>
      <c r="B131" s="95"/>
      <c r="C131" s="96"/>
      <c r="D131" s="96"/>
      <c r="E131" s="97"/>
      <c r="F131" s="144"/>
      <c r="G131" s="144"/>
      <c r="H131" s="144"/>
      <c r="I131" s="65" t="s">
        <v>274</v>
      </c>
      <c r="J131" s="34" t="s">
        <v>97</v>
      </c>
      <c r="K131" s="36">
        <v>107800</v>
      </c>
      <c r="L131" s="36">
        <v>110600</v>
      </c>
      <c r="M131" s="37">
        <v>113400</v>
      </c>
    </row>
    <row r="132" spans="1:13" x14ac:dyDescent="0.25">
      <c r="A132" s="94"/>
      <c r="B132" s="95"/>
      <c r="C132" s="96"/>
      <c r="D132" s="96"/>
      <c r="E132" s="97"/>
      <c r="F132" s="144"/>
      <c r="G132" s="144"/>
      <c r="H132" s="144"/>
      <c r="I132" s="65" t="s">
        <v>275</v>
      </c>
      <c r="J132" s="34" t="s">
        <v>97</v>
      </c>
      <c r="K132" s="36">
        <v>293100</v>
      </c>
      <c r="L132" s="36">
        <v>295200</v>
      </c>
      <c r="M132" s="37">
        <v>297300</v>
      </c>
    </row>
    <row r="133" spans="1:13" ht="30.75" thickBot="1" x14ac:dyDescent="0.3">
      <c r="A133" s="77"/>
      <c r="B133" s="81"/>
      <c r="C133" s="82"/>
      <c r="D133" s="82"/>
      <c r="E133" s="83"/>
      <c r="F133" s="122"/>
      <c r="G133" s="122"/>
      <c r="H133" s="122"/>
      <c r="I133" s="65" t="s">
        <v>276</v>
      </c>
      <c r="J133" s="34" t="s">
        <v>22</v>
      </c>
      <c r="K133" s="34">
        <v>0</v>
      </c>
      <c r="L133" s="34">
        <v>1</v>
      </c>
      <c r="M133" s="35">
        <v>1</v>
      </c>
    </row>
    <row r="134" spans="1:13" x14ac:dyDescent="0.25">
      <c r="A134" s="70" t="s">
        <v>277</v>
      </c>
      <c r="B134" s="73" t="s">
        <v>278</v>
      </c>
      <c r="C134" s="73" t="s">
        <v>279</v>
      </c>
      <c r="D134" s="11"/>
      <c r="E134" s="11"/>
      <c r="F134" s="52">
        <f>SUM(F135:F142)</f>
        <v>6895.2</v>
      </c>
      <c r="G134" s="52">
        <f>SUM(G135:G142)</f>
        <v>7056.2</v>
      </c>
      <c r="H134" s="52">
        <f>SUM(H135:H142)</f>
        <v>7209.7</v>
      </c>
      <c r="I134" s="11" t="s">
        <v>280</v>
      </c>
      <c r="J134" s="13" t="s">
        <v>22</v>
      </c>
      <c r="K134" s="13">
        <v>74</v>
      </c>
      <c r="L134" s="13">
        <v>77</v>
      </c>
      <c r="M134" s="24">
        <v>78</v>
      </c>
    </row>
    <row r="135" spans="1:13" x14ac:dyDescent="0.25">
      <c r="A135" s="71"/>
      <c r="B135" s="74"/>
      <c r="C135" s="74"/>
      <c r="D135" s="8" t="s">
        <v>108</v>
      </c>
      <c r="E135" s="8"/>
      <c r="F135" s="44">
        <v>266.5</v>
      </c>
      <c r="G135" s="44">
        <v>272.5</v>
      </c>
      <c r="H135" s="44">
        <v>277.39999999999998</v>
      </c>
      <c r="I135" s="8" t="s">
        <v>281</v>
      </c>
      <c r="J135" s="9" t="s">
        <v>22</v>
      </c>
      <c r="K135" s="9">
        <v>847</v>
      </c>
      <c r="L135" s="9">
        <v>862</v>
      </c>
      <c r="M135" s="23">
        <v>908</v>
      </c>
    </row>
    <row r="136" spans="1:13" x14ac:dyDescent="0.25">
      <c r="A136" s="71"/>
      <c r="B136" s="74"/>
      <c r="C136" s="74"/>
      <c r="D136" s="8" t="s">
        <v>136</v>
      </c>
      <c r="E136" s="8"/>
      <c r="F136" s="44">
        <v>178.3</v>
      </c>
      <c r="G136" s="44">
        <v>179.3</v>
      </c>
      <c r="H136" s="44">
        <v>180.1</v>
      </c>
      <c r="I136" s="8" t="s">
        <v>282</v>
      </c>
      <c r="J136" s="9" t="s">
        <v>22</v>
      </c>
      <c r="K136" s="9">
        <v>26</v>
      </c>
      <c r="L136" s="9">
        <v>25</v>
      </c>
      <c r="M136" s="23">
        <v>28</v>
      </c>
    </row>
    <row r="137" spans="1:13" x14ac:dyDescent="0.25">
      <c r="A137" s="71"/>
      <c r="B137" s="74"/>
      <c r="C137" s="74"/>
      <c r="D137" s="8" t="s">
        <v>42</v>
      </c>
      <c r="E137" s="8"/>
      <c r="F137" s="44">
        <v>6258</v>
      </c>
      <c r="G137" s="44">
        <v>6406</v>
      </c>
      <c r="H137" s="44">
        <v>6553.8</v>
      </c>
      <c r="I137" s="8" t="s">
        <v>283</v>
      </c>
      <c r="J137" s="9" t="s">
        <v>22</v>
      </c>
      <c r="K137" s="9">
        <v>680</v>
      </c>
      <c r="L137" s="9">
        <v>847</v>
      </c>
      <c r="M137" s="27">
        <v>1158</v>
      </c>
    </row>
    <row r="138" spans="1:13" x14ac:dyDescent="0.25">
      <c r="A138" s="71"/>
      <c r="B138" s="74"/>
      <c r="C138" s="74"/>
      <c r="D138" s="8" t="s">
        <v>284</v>
      </c>
      <c r="E138" s="8"/>
      <c r="F138" s="44">
        <v>149</v>
      </c>
      <c r="G138" s="44">
        <v>155</v>
      </c>
      <c r="H138" s="44">
        <v>155</v>
      </c>
      <c r="I138" s="8" t="s">
        <v>285</v>
      </c>
      <c r="J138" s="9" t="s">
        <v>22</v>
      </c>
      <c r="K138" s="9">
        <v>3</v>
      </c>
      <c r="L138" s="9">
        <v>3</v>
      </c>
      <c r="M138" s="23">
        <v>4</v>
      </c>
    </row>
    <row r="139" spans="1:13" ht="32.25" customHeight="1" x14ac:dyDescent="0.25">
      <c r="A139" s="71"/>
      <c r="B139" s="74"/>
      <c r="C139" s="74"/>
      <c r="D139" s="98" t="s">
        <v>28</v>
      </c>
      <c r="E139" s="98"/>
      <c r="F139" s="118">
        <v>43.4</v>
      </c>
      <c r="G139" s="118">
        <v>43.4</v>
      </c>
      <c r="H139" s="118">
        <v>43.4</v>
      </c>
      <c r="I139" s="8" t="s">
        <v>286</v>
      </c>
      <c r="J139" s="9" t="s">
        <v>97</v>
      </c>
      <c r="K139" s="26">
        <v>431500</v>
      </c>
      <c r="L139" s="26">
        <v>436500</v>
      </c>
      <c r="M139" s="27">
        <v>440700</v>
      </c>
    </row>
    <row r="140" spans="1:13" ht="45" x14ac:dyDescent="0.25">
      <c r="A140" s="71"/>
      <c r="B140" s="74"/>
      <c r="C140" s="74"/>
      <c r="D140" s="85"/>
      <c r="E140" s="85"/>
      <c r="F140" s="119"/>
      <c r="G140" s="119"/>
      <c r="H140" s="119"/>
      <c r="I140" s="8" t="s">
        <v>287</v>
      </c>
      <c r="J140" s="9" t="s">
        <v>97</v>
      </c>
      <c r="K140" s="26">
        <v>21230</v>
      </c>
      <c r="L140" s="26">
        <v>21400</v>
      </c>
      <c r="M140" s="27">
        <v>22000</v>
      </c>
    </row>
    <row r="141" spans="1:13" x14ac:dyDescent="0.25">
      <c r="A141" s="71"/>
      <c r="B141" s="74"/>
      <c r="C141" s="74"/>
      <c r="D141" s="85"/>
      <c r="E141" s="85"/>
      <c r="F141" s="119"/>
      <c r="G141" s="119"/>
      <c r="H141" s="119"/>
      <c r="I141" s="8" t="s">
        <v>288</v>
      </c>
      <c r="J141" s="9" t="s">
        <v>97</v>
      </c>
      <c r="K141" s="26">
        <v>13500</v>
      </c>
      <c r="L141" s="26">
        <v>15400</v>
      </c>
      <c r="M141" s="27">
        <v>18750</v>
      </c>
    </row>
    <row r="142" spans="1:13" ht="15.75" thickBot="1" x14ac:dyDescent="0.3">
      <c r="A142" s="72"/>
      <c r="B142" s="75"/>
      <c r="C142" s="75"/>
      <c r="D142" s="86"/>
      <c r="E142" s="86"/>
      <c r="F142" s="120"/>
      <c r="G142" s="120"/>
      <c r="H142" s="120"/>
      <c r="I142" s="8" t="s">
        <v>289</v>
      </c>
      <c r="J142" s="9" t="s">
        <v>97</v>
      </c>
      <c r="K142" s="9">
        <v>50</v>
      </c>
      <c r="L142" s="9">
        <v>50</v>
      </c>
      <c r="M142" s="23">
        <v>60</v>
      </c>
    </row>
    <row r="143" spans="1:13" ht="31.5" customHeight="1" thickBot="1" x14ac:dyDescent="0.3">
      <c r="A143" s="10" t="s">
        <v>290</v>
      </c>
      <c r="B143" s="11" t="s">
        <v>291</v>
      </c>
      <c r="C143" s="12" t="s">
        <v>170</v>
      </c>
      <c r="D143" s="11" t="s">
        <v>42</v>
      </c>
      <c r="E143" s="11"/>
      <c r="F143" s="56">
        <v>90</v>
      </c>
      <c r="G143" s="56">
        <v>100</v>
      </c>
      <c r="H143" s="56">
        <v>120</v>
      </c>
      <c r="I143" s="11" t="s">
        <v>292</v>
      </c>
      <c r="J143" s="13" t="s">
        <v>22</v>
      </c>
      <c r="K143" s="13">
        <v>30</v>
      </c>
      <c r="L143" s="13">
        <v>35</v>
      </c>
      <c r="M143" s="24">
        <v>40</v>
      </c>
    </row>
    <row r="144" spans="1:13" x14ac:dyDescent="0.25">
      <c r="A144" s="70" t="s">
        <v>293</v>
      </c>
      <c r="B144" s="73" t="s">
        <v>294</v>
      </c>
      <c r="C144" s="73" t="s">
        <v>170</v>
      </c>
      <c r="D144" s="84" t="s">
        <v>42</v>
      </c>
      <c r="E144" s="84"/>
      <c r="F144" s="103">
        <f>SUM(F145:F148)+26.2</f>
        <v>26.2</v>
      </c>
      <c r="G144" s="103">
        <f>SUM(G145:G148)+31</f>
        <v>31</v>
      </c>
      <c r="H144" s="103">
        <f>SUM(H145:H148)+31</f>
        <v>31</v>
      </c>
      <c r="I144" s="11" t="s">
        <v>295</v>
      </c>
      <c r="J144" s="13" t="s">
        <v>22</v>
      </c>
      <c r="K144" s="13">
        <v>11</v>
      </c>
      <c r="L144" s="13">
        <v>11</v>
      </c>
      <c r="M144" s="24">
        <v>11</v>
      </c>
    </row>
    <row r="145" spans="1:13" ht="30" x14ac:dyDescent="0.25">
      <c r="A145" s="71"/>
      <c r="B145" s="74"/>
      <c r="C145" s="74"/>
      <c r="D145" s="85"/>
      <c r="E145" s="85"/>
      <c r="F145" s="108"/>
      <c r="G145" s="108"/>
      <c r="H145" s="108"/>
      <c r="I145" s="8" t="s">
        <v>296</v>
      </c>
      <c r="J145" s="9" t="s">
        <v>22</v>
      </c>
      <c r="K145" s="9">
        <v>0</v>
      </c>
      <c r="L145" s="9">
        <v>0</v>
      </c>
      <c r="M145" s="23">
        <v>1</v>
      </c>
    </row>
    <row r="146" spans="1:13" ht="30" x14ac:dyDescent="0.25">
      <c r="A146" s="71"/>
      <c r="B146" s="74"/>
      <c r="C146" s="74"/>
      <c r="D146" s="85"/>
      <c r="E146" s="85"/>
      <c r="F146" s="108"/>
      <c r="G146" s="108"/>
      <c r="H146" s="108"/>
      <c r="I146" s="8" t="s">
        <v>297</v>
      </c>
      <c r="J146" s="9" t="s">
        <v>22</v>
      </c>
      <c r="K146" s="9">
        <v>0</v>
      </c>
      <c r="L146" s="9">
        <v>0</v>
      </c>
      <c r="M146" s="23">
        <v>2</v>
      </c>
    </row>
    <row r="147" spans="1:13" ht="30" x14ac:dyDescent="0.25">
      <c r="A147" s="71"/>
      <c r="B147" s="74"/>
      <c r="C147" s="74"/>
      <c r="D147" s="85"/>
      <c r="E147" s="85"/>
      <c r="F147" s="108"/>
      <c r="G147" s="108"/>
      <c r="H147" s="108"/>
      <c r="I147" s="8" t="s">
        <v>298</v>
      </c>
      <c r="J147" s="9" t="s">
        <v>22</v>
      </c>
      <c r="K147" s="9">
        <v>0</v>
      </c>
      <c r="L147" s="9">
        <v>0</v>
      </c>
      <c r="M147" s="23">
        <v>3</v>
      </c>
    </row>
    <row r="148" spans="1:13" ht="30.75" thickBot="1" x14ac:dyDescent="0.3">
      <c r="A148" s="72"/>
      <c r="B148" s="75"/>
      <c r="C148" s="75"/>
      <c r="D148" s="86"/>
      <c r="E148" s="86"/>
      <c r="F148" s="104"/>
      <c r="G148" s="104"/>
      <c r="H148" s="104"/>
      <c r="I148" s="8" t="s">
        <v>299</v>
      </c>
      <c r="J148" s="9" t="s">
        <v>22</v>
      </c>
      <c r="K148" s="9">
        <v>0</v>
      </c>
      <c r="L148" s="9">
        <v>0</v>
      </c>
      <c r="M148" s="23">
        <v>2</v>
      </c>
    </row>
    <row r="149" spans="1:13" x14ac:dyDescent="0.25">
      <c r="A149" s="70" t="s">
        <v>300</v>
      </c>
      <c r="B149" s="73" t="s">
        <v>301</v>
      </c>
      <c r="C149" s="73" t="s">
        <v>170</v>
      </c>
      <c r="D149" s="84" t="s">
        <v>42</v>
      </c>
      <c r="E149" s="84"/>
      <c r="F149" s="103">
        <f>SUM(F150:F152)+510.4</f>
        <v>510.4</v>
      </c>
      <c r="G149" s="103">
        <f>SUM(G150:G152)+536.5</f>
        <v>536.5</v>
      </c>
      <c r="H149" s="103">
        <f>SUM(H150:H152)+562</f>
        <v>562</v>
      </c>
      <c r="I149" s="11" t="s">
        <v>302</v>
      </c>
      <c r="J149" s="13" t="s">
        <v>22</v>
      </c>
      <c r="K149" s="13">
        <v>8</v>
      </c>
      <c r="L149" s="13">
        <v>8</v>
      </c>
      <c r="M149" s="24">
        <v>8</v>
      </c>
    </row>
    <row r="150" spans="1:13" ht="30" x14ac:dyDescent="0.25">
      <c r="A150" s="71"/>
      <c r="B150" s="74"/>
      <c r="C150" s="74"/>
      <c r="D150" s="85"/>
      <c r="E150" s="85"/>
      <c r="F150" s="108"/>
      <c r="G150" s="108"/>
      <c r="H150" s="108"/>
      <c r="I150" s="8" t="s">
        <v>303</v>
      </c>
      <c r="J150" s="9" t="s">
        <v>22</v>
      </c>
      <c r="K150" s="9">
        <v>17</v>
      </c>
      <c r="L150" s="9">
        <v>21</v>
      </c>
      <c r="M150" s="23">
        <v>24</v>
      </c>
    </row>
    <row r="151" spans="1:13" ht="30" x14ac:dyDescent="0.25">
      <c r="A151" s="71"/>
      <c r="B151" s="74"/>
      <c r="C151" s="74"/>
      <c r="D151" s="85"/>
      <c r="E151" s="85"/>
      <c r="F151" s="108"/>
      <c r="G151" s="108"/>
      <c r="H151" s="108"/>
      <c r="I151" s="8" t="s">
        <v>304</v>
      </c>
      <c r="J151" s="9" t="s">
        <v>22</v>
      </c>
      <c r="K151" s="9">
        <v>7</v>
      </c>
      <c r="L151" s="9">
        <v>9</v>
      </c>
      <c r="M151" s="23">
        <v>12</v>
      </c>
    </row>
    <row r="152" spans="1:13" ht="30.75" thickBot="1" x14ac:dyDescent="0.3">
      <c r="A152" s="72"/>
      <c r="B152" s="75"/>
      <c r="C152" s="75"/>
      <c r="D152" s="86"/>
      <c r="E152" s="86"/>
      <c r="F152" s="104"/>
      <c r="G152" s="104"/>
      <c r="H152" s="104"/>
      <c r="I152" s="8" t="s">
        <v>305</v>
      </c>
      <c r="J152" s="9" t="s">
        <v>22</v>
      </c>
      <c r="K152" s="9">
        <v>10</v>
      </c>
      <c r="L152" s="9">
        <v>12</v>
      </c>
      <c r="M152" s="23">
        <v>13</v>
      </c>
    </row>
    <row r="153" spans="1:13" ht="30" x14ac:dyDescent="0.25">
      <c r="A153" s="70" t="s">
        <v>306</v>
      </c>
      <c r="B153" s="73" t="s">
        <v>307</v>
      </c>
      <c r="C153" s="73" t="s">
        <v>279</v>
      </c>
      <c r="D153" s="84" t="s">
        <v>42</v>
      </c>
      <c r="E153" s="84"/>
      <c r="F153" s="103">
        <f>SUM(F154:F156)+458.3</f>
        <v>458.3</v>
      </c>
      <c r="G153" s="103">
        <f>SUM(G154:G156)+518</f>
        <v>518</v>
      </c>
      <c r="H153" s="103">
        <f>SUM(H154:H156)+552</f>
        <v>552</v>
      </c>
      <c r="I153" s="11" t="s">
        <v>308</v>
      </c>
      <c r="J153" s="13" t="s">
        <v>22</v>
      </c>
      <c r="K153" s="13">
        <v>14</v>
      </c>
      <c r="L153" s="13">
        <v>14</v>
      </c>
      <c r="M153" s="24">
        <v>14</v>
      </c>
    </row>
    <row r="154" spans="1:13" ht="30" x14ac:dyDescent="0.25">
      <c r="A154" s="71"/>
      <c r="B154" s="74"/>
      <c r="C154" s="74"/>
      <c r="D154" s="85"/>
      <c r="E154" s="85"/>
      <c r="F154" s="108"/>
      <c r="G154" s="108"/>
      <c r="H154" s="108"/>
      <c r="I154" s="8" t="s">
        <v>309</v>
      </c>
      <c r="J154" s="9" t="s">
        <v>22</v>
      </c>
      <c r="K154" s="9">
        <v>32</v>
      </c>
      <c r="L154" s="9">
        <v>33</v>
      </c>
      <c r="M154" s="23">
        <v>34</v>
      </c>
    </row>
    <row r="155" spans="1:13" x14ac:dyDescent="0.25">
      <c r="A155" s="71"/>
      <c r="B155" s="74"/>
      <c r="C155" s="74"/>
      <c r="D155" s="85"/>
      <c r="E155" s="85"/>
      <c r="F155" s="108"/>
      <c r="G155" s="108"/>
      <c r="H155" s="108"/>
      <c r="I155" s="8" t="s">
        <v>310</v>
      </c>
      <c r="J155" s="9" t="s">
        <v>22</v>
      </c>
      <c r="K155" s="9">
        <v>1</v>
      </c>
      <c r="L155" s="9">
        <v>1</v>
      </c>
      <c r="M155" s="23">
        <v>1</v>
      </c>
    </row>
    <row r="156" spans="1:13" ht="18.75" customHeight="1" thickBot="1" x14ac:dyDescent="0.3">
      <c r="A156" s="72"/>
      <c r="B156" s="75"/>
      <c r="C156" s="75"/>
      <c r="D156" s="86"/>
      <c r="E156" s="86"/>
      <c r="F156" s="104"/>
      <c r="G156" s="104"/>
      <c r="H156" s="104"/>
      <c r="I156" s="8" t="s">
        <v>311</v>
      </c>
      <c r="J156" s="9" t="s">
        <v>22</v>
      </c>
      <c r="K156" s="9">
        <v>1</v>
      </c>
      <c r="L156" s="9">
        <v>1</v>
      </c>
      <c r="M156" s="23">
        <v>1</v>
      </c>
    </row>
    <row r="157" spans="1:13" ht="30.75" thickBot="1" x14ac:dyDescent="0.3">
      <c r="A157" s="10" t="s">
        <v>312</v>
      </c>
      <c r="B157" s="11" t="s">
        <v>313</v>
      </c>
      <c r="C157" s="12" t="s">
        <v>279</v>
      </c>
      <c r="D157" s="11" t="s">
        <v>42</v>
      </c>
      <c r="E157" s="11"/>
      <c r="F157" s="56">
        <v>314.7</v>
      </c>
      <c r="G157" s="56">
        <v>287.7</v>
      </c>
      <c r="H157" s="56">
        <v>346.2</v>
      </c>
      <c r="I157" s="11" t="s">
        <v>314</v>
      </c>
      <c r="J157" s="13" t="s">
        <v>22</v>
      </c>
      <c r="K157" s="13">
        <v>12</v>
      </c>
      <c r="L157" s="13">
        <v>12</v>
      </c>
      <c r="M157" s="24">
        <v>11</v>
      </c>
    </row>
    <row r="158" spans="1:13" ht="30.75" thickBot="1" x14ac:dyDescent="0.3">
      <c r="A158" s="10" t="s">
        <v>315</v>
      </c>
      <c r="B158" s="11" t="s">
        <v>316</v>
      </c>
      <c r="C158" s="12" t="s">
        <v>317</v>
      </c>
      <c r="D158" s="11" t="s">
        <v>42</v>
      </c>
      <c r="E158" s="11"/>
      <c r="F158" s="56">
        <v>5</v>
      </c>
      <c r="G158" s="56">
        <v>5</v>
      </c>
      <c r="H158" s="56">
        <v>5</v>
      </c>
      <c r="I158" s="11" t="s">
        <v>318</v>
      </c>
      <c r="J158" s="13" t="s">
        <v>22</v>
      </c>
      <c r="K158" s="13">
        <v>1</v>
      </c>
      <c r="L158" s="13">
        <v>1</v>
      </c>
      <c r="M158" s="24">
        <v>1</v>
      </c>
    </row>
    <row r="159" spans="1:13" ht="32.25" customHeight="1" thickBot="1" x14ac:dyDescent="0.3">
      <c r="A159" s="6" t="s">
        <v>319</v>
      </c>
      <c r="B159" s="115" t="s">
        <v>320</v>
      </c>
      <c r="C159" s="116"/>
      <c r="D159" s="116"/>
      <c r="E159" s="117"/>
      <c r="F159" s="54">
        <f>F160+F163+F164+F167+F170+F173</f>
        <v>1352.3</v>
      </c>
      <c r="G159" s="54">
        <f>G160+G163+G164+G167+G170+G173</f>
        <v>1169.5999999999999</v>
      </c>
      <c r="H159" s="54">
        <f>H160+H163+H164+H167+H170+H173</f>
        <v>283.60000000000002</v>
      </c>
      <c r="I159" s="64" t="s">
        <v>321</v>
      </c>
      <c r="J159" s="7" t="s">
        <v>22</v>
      </c>
      <c r="K159" s="7">
        <v>8</v>
      </c>
      <c r="L159" s="7">
        <v>9</v>
      </c>
      <c r="M159" s="25">
        <v>10</v>
      </c>
    </row>
    <row r="160" spans="1:13" x14ac:dyDescent="0.25">
      <c r="A160" s="70" t="s">
        <v>322</v>
      </c>
      <c r="B160" s="73" t="s">
        <v>323</v>
      </c>
      <c r="C160" s="73" t="s">
        <v>324</v>
      </c>
      <c r="D160" s="11"/>
      <c r="E160" s="67" t="s">
        <v>519</v>
      </c>
      <c r="F160" s="52">
        <f>SUM(F161:F162)</f>
        <v>484.5</v>
      </c>
      <c r="G160" s="52">
        <f>SUM(G161:G162)</f>
        <v>786</v>
      </c>
      <c r="H160" s="52">
        <f>SUM(H161:H162)</f>
        <v>0</v>
      </c>
      <c r="I160" s="11" t="s">
        <v>325</v>
      </c>
      <c r="J160" s="13" t="s">
        <v>22</v>
      </c>
      <c r="K160" s="13">
        <v>1</v>
      </c>
      <c r="L160" s="13">
        <v>0</v>
      </c>
      <c r="M160" s="24">
        <v>0</v>
      </c>
    </row>
    <row r="161" spans="1:13" ht="30" x14ac:dyDescent="0.25">
      <c r="A161" s="71"/>
      <c r="B161" s="74"/>
      <c r="C161" s="74"/>
      <c r="D161" s="8" t="s">
        <v>42</v>
      </c>
      <c r="E161" s="69"/>
      <c r="F161" s="44">
        <v>301.3</v>
      </c>
      <c r="G161" s="44">
        <v>607.9</v>
      </c>
      <c r="H161" s="44">
        <v>0</v>
      </c>
      <c r="I161" s="8" t="s">
        <v>326</v>
      </c>
      <c r="J161" s="9" t="s">
        <v>27</v>
      </c>
      <c r="K161" s="9">
        <v>100</v>
      </c>
      <c r="L161" s="9">
        <v>0</v>
      </c>
      <c r="M161" s="23">
        <v>0</v>
      </c>
    </row>
    <row r="162" spans="1:13" ht="18" customHeight="1" thickBot="1" x14ac:dyDescent="0.3">
      <c r="A162" s="72"/>
      <c r="B162" s="75"/>
      <c r="C162" s="75"/>
      <c r="D162" s="8" t="s">
        <v>30</v>
      </c>
      <c r="E162" s="69"/>
      <c r="F162" s="44">
        <v>183.2</v>
      </c>
      <c r="G162" s="44">
        <v>178.1</v>
      </c>
      <c r="H162" s="44">
        <v>0</v>
      </c>
      <c r="I162" s="8" t="s">
        <v>327</v>
      </c>
      <c r="J162" s="9" t="s">
        <v>27</v>
      </c>
      <c r="K162" s="9">
        <v>20</v>
      </c>
      <c r="L162" s="9">
        <v>100</v>
      </c>
      <c r="M162" s="23">
        <v>0</v>
      </c>
    </row>
    <row r="163" spans="1:13" ht="45.75" thickBot="1" x14ac:dyDescent="0.3">
      <c r="A163" s="10" t="s">
        <v>328</v>
      </c>
      <c r="B163" s="11" t="s">
        <v>329</v>
      </c>
      <c r="C163" s="12" t="s">
        <v>330</v>
      </c>
      <c r="D163" s="11" t="s">
        <v>42</v>
      </c>
      <c r="E163" s="67" t="s">
        <v>519</v>
      </c>
      <c r="F163" s="56">
        <v>255.1</v>
      </c>
      <c r="G163" s="56">
        <v>0</v>
      </c>
      <c r="H163" s="56">
        <v>0</v>
      </c>
      <c r="I163" s="11" t="s">
        <v>331</v>
      </c>
      <c r="J163" s="13" t="s">
        <v>27</v>
      </c>
      <c r="K163" s="13">
        <v>100</v>
      </c>
      <c r="L163" s="13">
        <v>0</v>
      </c>
      <c r="M163" s="24">
        <v>0</v>
      </c>
    </row>
    <row r="164" spans="1:13" x14ac:dyDescent="0.25">
      <c r="A164" s="70" t="s">
        <v>332</v>
      </c>
      <c r="B164" s="73" t="s">
        <v>333</v>
      </c>
      <c r="C164" s="73" t="s">
        <v>334</v>
      </c>
      <c r="D164" s="84" t="s">
        <v>42</v>
      </c>
      <c r="E164" s="141" t="s">
        <v>519</v>
      </c>
      <c r="F164" s="103">
        <f>SUM(F165:F166)+50</f>
        <v>50</v>
      </c>
      <c r="G164" s="103">
        <f>SUM(G165:G166)+250</f>
        <v>250</v>
      </c>
      <c r="H164" s="103">
        <f>SUM(H165:H166)+250</f>
        <v>250</v>
      </c>
      <c r="I164" s="11" t="s">
        <v>325</v>
      </c>
      <c r="J164" s="13" t="s">
        <v>22</v>
      </c>
      <c r="K164" s="13">
        <v>1</v>
      </c>
      <c r="L164" s="13">
        <v>0</v>
      </c>
      <c r="M164" s="24">
        <v>0</v>
      </c>
    </row>
    <row r="165" spans="1:13" ht="30" x14ac:dyDescent="0.25">
      <c r="A165" s="71"/>
      <c r="B165" s="74"/>
      <c r="C165" s="74"/>
      <c r="D165" s="85"/>
      <c r="E165" s="142"/>
      <c r="F165" s="108"/>
      <c r="G165" s="108"/>
      <c r="H165" s="108"/>
      <c r="I165" s="8" t="s">
        <v>335</v>
      </c>
      <c r="J165" s="9" t="s">
        <v>27</v>
      </c>
      <c r="K165" s="9">
        <v>0</v>
      </c>
      <c r="L165" s="9">
        <v>20</v>
      </c>
      <c r="M165" s="23">
        <v>100</v>
      </c>
    </row>
    <row r="166" spans="1:13" ht="30.75" thickBot="1" x14ac:dyDescent="0.3">
      <c r="A166" s="72"/>
      <c r="B166" s="75"/>
      <c r="C166" s="75"/>
      <c r="D166" s="86"/>
      <c r="E166" s="143"/>
      <c r="F166" s="104"/>
      <c r="G166" s="104"/>
      <c r="H166" s="104"/>
      <c r="I166" s="8" t="s">
        <v>336</v>
      </c>
      <c r="J166" s="9" t="s">
        <v>22</v>
      </c>
      <c r="K166" s="9">
        <v>0</v>
      </c>
      <c r="L166" s="9">
        <v>20</v>
      </c>
      <c r="M166" s="23">
        <v>100</v>
      </c>
    </row>
    <row r="167" spans="1:13" ht="24.75" customHeight="1" x14ac:dyDescent="0.25">
      <c r="A167" s="70" t="s">
        <v>337</v>
      </c>
      <c r="B167" s="73" t="s">
        <v>338</v>
      </c>
      <c r="C167" s="73" t="s">
        <v>339</v>
      </c>
      <c r="D167" s="84" t="s">
        <v>42</v>
      </c>
      <c r="E167" s="141" t="s">
        <v>519</v>
      </c>
      <c r="F167" s="103">
        <f>SUM(F168:F169)+254</f>
        <v>254</v>
      </c>
      <c r="G167" s="103">
        <f>SUM(G168:G169)</f>
        <v>0</v>
      </c>
      <c r="H167" s="103">
        <f>SUM(H168:H169)</f>
        <v>0</v>
      </c>
      <c r="I167" s="11" t="s">
        <v>340</v>
      </c>
      <c r="J167" s="13" t="s">
        <v>27</v>
      </c>
      <c r="K167" s="13">
        <v>100</v>
      </c>
      <c r="L167" s="13">
        <v>0</v>
      </c>
      <c r="M167" s="24">
        <v>0</v>
      </c>
    </row>
    <row r="168" spans="1:13" x14ac:dyDescent="0.25">
      <c r="A168" s="71"/>
      <c r="B168" s="74"/>
      <c r="C168" s="74"/>
      <c r="D168" s="85"/>
      <c r="E168" s="142"/>
      <c r="F168" s="108"/>
      <c r="G168" s="108"/>
      <c r="H168" s="108"/>
      <c r="I168" s="8" t="s">
        <v>341</v>
      </c>
      <c r="J168" s="9" t="s">
        <v>27</v>
      </c>
      <c r="K168" s="9">
        <v>100</v>
      </c>
      <c r="L168" s="9">
        <v>0</v>
      </c>
      <c r="M168" s="23">
        <v>0</v>
      </c>
    </row>
    <row r="169" spans="1:13" ht="15.75" thickBot="1" x14ac:dyDescent="0.3">
      <c r="A169" s="72"/>
      <c r="B169" s="75"/>
      <c r="C169" s="75"/>
      <c r="D169" s="86"/>
      <c r="E169" s="143"/>
      <c r="F169" s="104"/>
      <c r="G169" s="104"/>
      <c r="H169" s="104"/>
      <c r="I169" s="8" t="s">
        <v>342</v>
      </c>
      <c r="J169" s="9" t="s">
        <v>27</v>
      </c>
      <c r="K169" s="9">
        <v>100</v>
      </c>
      <c r="L169" s="9"/>
      <c r="M169" s="23"/>
    </row>
    <row r="170" spans="1:13" ht="31.5" customHeight="1" x14ac:dyDescent="0.25">
      <c r="A170" s="70" t="s">
        <v>343</v>
      </c>
      <c r="B170" s="73" t="s">
        <v>344</v>
      </c>
      <c r="C170" s="73" t="s">
        <v>345</v>
      </c>
      <c r="D170" s="11"/>
      <c r="E170" s="67" t="s">
        <v>519</v>
      </c>
      <c r="F170" s="52">
        <f>SUM(F171:F172)</f>
        <v>278.7</v>
      </c>
      <c r="G170" s="52">
        <f>SUM(G171:G172)</f>
        <v>103.6</v>
      </c>
      <c r="H170" s="52">
        <f>SUM(H171:H172)</f>
        <v>3.5999999999999996</v>
      </c>
      <c r="I170" s="11" t="s">
        <v>346</v>
      </c>
      <c r="J170" s="13" t="s">
        <v>22</v>
      </c>
      <c r="K170" s="13">
        <v>1</v>
      </c>
      <c r="L170" s="13">
        <v>0</v>
      </c>
      <c r="M170" s="24">
        <v>0</v>
      </c>
    </row>
    <row r="171" spans="1:13" ht="30" x14ac:dyDescent="0.25">
      <c r="A171" s="71"/>
      <c r="B171" s="74"/>
      <c r="C171" s="74"/>
      <c r="D171" s="8" t="s">
        <v>42</v>
      </c>
      <c r="E171" s="69"/>
      <c r="F171" s="44">
        <v>188.4</v>
      </c>
      <c r="G171" s="44">
        <v>94.6</v>
      </c>
      <c r="H171" s="44">
        <v>0.7</v>
      </c>
      <c r="I171" s="8" t="s">
        <v>347</v>
      </c>
      <c r="J171" s="9" t="s">
        <v>22</v>
      </c>
      <c r="K171" s="9">
        <v>0</v>
      </c>
      <c r="L171" s="9">
        <v>0</v>
      </c>
      <c r="M171" s="23">
        <v>1</v>
      </c>
    </row>
    <row r="172" spans="1:13" ht="15.75" thickBot="1" x14ac:dyDescent="0.3">
      <c r="A172" s="72"/>
      <c r="B172" s="75"/>
      <c r="C172" s="75"/>
      <c r="D172" s="8" t="s">
        <v>30</v>
      </c>
      <c r="E172" s="8"/>
      <c r="F172" s="44">
        <v>90.3</v>
      </c>
      <c r="G172" s="44">
        <v>9</v>
      </c>
      <c r="H172" s="44">
        <v>2.9</v>
      </c>
      <c r="I172" s="8" t="s">
        <v>348</v>
      </c>
      <c r="J172" s="9" t="s">
        <v>22</v>
      </c>
      <c r="K172" s="9">
        <v>0</v>
      </c>
      <c r="L172" s="9">
        <v>1</v>
      </c>
      <c r="M172" s="23">
        <v>0</v>
      </c>
    </row>
    <row r="173" spans="1:13" x14ac:dyDescent="0.25">
      <c r="A173" s="70" t="s">
        <v>349</v>
      </c>
      <c r="B173" s="73" t="s">
        <v>350</v>
      </c>
      <c r="C173" s="73" t="s">
        <v>317</v>
      </c>
      <c r="D173" s="84" t="s">
        <v>42</v>
      </c>
      <c r="E173" s="84"/>
      <c r="F173" s="103">
        <f>SUM(F174:F175)+30</f>
        <v>30</v>
      </c>
      <c r="G173" s="103">
        <f>SUM(G174:G175)+30</f>
        <v>30</v>
      </c>
      <c r="H173" s="103">
        <f>SUM(H174:H175)+30</f>
        <v>30</v>
      </c>
      <c r="I173" s="11" t="s">
        <v>351</v>
      </c>
      <c r="J173" s="13" t="s">
        <v>22</v>
      </c>
      <c r="K173" s="13">
        <v>0</v>
      </c>
      <c r="L173" s="13">
        <v>1</v>
      </c>
      <c r="M173" s="24">
        <v>1</v>
      </c>
    </row>
    <row r="174" spans="1:13" ht="45" x14ac:dyDescent="0.25">
      <c r="A174" s="71"/>
      <c r="B174" s="74"/>
      <c r="C174" s="74"/>
      <c r="D174" s="85"/>
      <c r="E174" s="85"/>
      <c r="F174" s="108"/>
      <c r="G174" s="108"/>
      <c r="H174" s="108"/>
      <c r="I174" s="8" t="s">
        <v>352</v>
      </c>
      <c r="J174" s="9" t="s">
        <v>93</v>
      </c>
      <c r="K174" s="9">
        <v>1</v>
      </c>
      <c r="L174" s="9"/>
      <c r="M174" s="23"/>
    </row>
    <row r="175" spans="1:13" ht="30.75" thickBot="1" x14ac:dyDescent="0.3">
      <c r="A175" s="72"/>
      <c r="B175" s="75"/>
      <c r="C175" s="75"/>
      <c r="D175" s="86"/>
      <c r="E175" s="86"/>
      <c r="F175" s="104"/>
      <c r="G175" s="104"/>
      <c r="H175" s="104"/>
      <c r="I175" s="8" t="s">
        <v>353</v>
      </c>
      <c r="J175" s="9" t="s">
        <v>27</v>
      </c>
      <c r="K175" s="9">
        <v>100</v>
      </c>
      <c r="L175" s="9"/>
      <c r="M175" s="23"/>
    </row>
    <row r="176" spans="1:13" ht="30.75" customHeight="1" thickBot="1" x14ac:dyDescent="0.3">
      <c r="A176" s="4" t="s">
        <v>354</v>
      </c>
      <c r="B176" s="5" t="s">
        <v>355</v>
      </c>
      <c r="C176" s="91" t="s">
        <v>183</v>
      </c>
      <c r="D176" s="92"/>
      <c r="E176" s="93"/>
      <c r="F176" s="53">
        <f>F177+F207</f>
        <v>6090.5</v>
      </c>
      <c r="G176" s="53">
        <f>G177+G207</f>
        <v>6034.7</v>
      </c>
      <c r="H176" s="53">
        <f>H177+H207</f>
        <v>5942.9</v>
      </c>
      <c r="I176" s="88"/>
      <c r="J176" s="89"/>
      <c r="K176" s="89"/>
      <c r="L176" s="89"/>
      <c r="M176" s="90"/>
    </row>
    <row r="177" spans="1:13" ht="30" x14ac:dyDescent="0.25">
      <c r="A177" s="76" t="s">
        <v>356</v>
      </c>
      <c r="B177" s="78" t="s">
        <v>357</v>
      </c>
      <c r="C177" s="79"/>
      <c r="D177" s="79"/>
      <c r="E177" s="80"/>
      <c r="F177" s="121">
        <f>F178+F179+F180+F181+F184+F190+F193+F196+F200+F201+F203</f>
        <v>1060.5</v>
      </c>
      <c r="G177" s="121">
        <f>G178+G179+G180+G181+G184+G190+G193+G196+G200+G201+G203</f>
        <v>1000.7</v>
      </c>
      <c r="H177" s="121">
        <f>H178+H179+H180+H181+H184+H190+H193+H196+H200+H201+H203</f>
        <v>907.9</v>
      </c>
      <c r="I177" s="64" t="s">
        <v>358</v>
      </c>
      <c r="J177" s="7" t="s">
        <v>27</v>
      </c>
      <c r="K177" s="28">
        <v>32.32</v>
      </c>
      <c r="L177" s="28">
        <v>32.75</v>
      </c>
      <c r="M177" s="29">
        <v>33.18</v>
      </c>
    </row>
    <row r="178" spans="1:13" ht="30" x14ac:dyDescent="0.25">
      <c r="A178" s="94"/>
      <c r="B178" s="95"/>
      <c r="C178" s="96"/>
      <c r="D178" s="96"/>
      <c r="E178" s="97"/>
      <c r="F178" s="144"/>
      <c r="G178" s="144"/>
      <c r="H178" s="144"/>
      <c r="I178" s="65" t="s">
        <v>359</v>
      </c>
      <c r="J178" s="34" t="s">
        <v>27</v>
      </c>
      <c r="K178" s="38">
        <v>20.239999999999998</v>
      </c>
      <c r="L178" s="38">
        <v>19.59</v>
      </c>
      <c r="M178" s="39">
        <v>18.940000000000001</v>
      </c>
    </row>
    <row r="179" spans="1:13" x14ac:dyDescent="0.25">
      <c r="A179" s="94"/>
      <c r="B179" s="95"/>
      <c r="C179" s="96"/>
      <c r="D179" s="96"/>
      <c r="E179" s="97"/>
      <c r="F179" s="144"/>
      <c r="G179" s="144"/>
      <c r="H179" s="144"/>
      <c r="I179" s="65" t="s">
        <v>360</v>
      </c>
      <c r="J179" s="34" t="s">
        <v>361</v>
      </c>
      <c r="K179" s="34">
        <v>21</v>
      </c>
      <c r="L179" s="34">
        <v>21</v>
      </c>
      <c r="M179" s="35">
        <v>21</v>
      </c>
    </row>
    <row r="180" spans="1:13" ht="30.75" thickBot="1" x14ac:dyDescent="0.3">
      <c r="A180" s="77"/>
      <c r="B180" s="81"/>
      <c r="C180" s="82"/>
      <c r="D180" s="82"/>
      <c r="E180" s="83"/>
      <c r="F180" s="122"/>
      <c r="G180" s="122"/>
      <c r="H180" s="122"/>
      <c r="I180" s="65" t="s">
        <v>362</v>
      </c>
      <c r="J180" s="34" t="s">
        <v>363</v>
      </c>
      <c r="K180" s="38">
        <v>47.66</v>
      </c>
      <c r="L180" s="38">
        <v>47.29</v>
      </c>
      <c r="M180" s="39">
        <v>46.92</v>
      </c>
    </row>
    <row r="181" spans="1:13" x14ac:dyDescent="0.25">
      <c r="A181" s="70" t="s">
        <v>364</v>
      </c>
      <c r="B181" s="73" t="s">
        <v>365</v>
      </c>
      <c r="C181" s="73" t="s">
        <v>366</v>
      </c>
      <c r="D181" s="11"/>
      <c r="E181" s="11"/>
      <c r="F181" s="52">
        <f>SUM(F182:F183)</f>
        <v>129.5</v>
      </c>
      <c r="G181" s="52">
        <f>SUM(G182:G183)</f>
        <v>129.69999999999999</v>
      </c>
      <c r="H181" s="52">
        <f>SUM(H182:H183)</f>
        <v>132.80000000000001</v>
      </c>
      <c r="I181" s="11" t="s">
        <v>367</v>
      </c>
      <c r="J181" s="13" t="s">
        <v>22</v>
      </c>
      <c r="K181" s="13">
        <v>1</v>
      </c>
      <c r="L181" s="13">
        <v>1</v>
      </c>
      <c r="M181" s="24">
        <v>1</v>
      </c>
    </row>
    <row r="182" spans="1:13" x14ac:dyDescent="0.25">
      <c r="A182" s="71"/>
      <c r="B182" s="74"/>
      <c r="C182" s="74"/>
      <c r="D182" s="8" t="s">
        <v>42</v>
      </c>
      <c r="E182" s="8"/>
      <c r="F182" s="44">
        <v>126.5</v>
      </c>
      <c r="G182" s="44">
        <v>129.69999999999999</v>
      </c>
      <c r="H182" s="44">
        <v>132.80000000000001</v>
      </c>
      <c r="I182" s="98" t="s">
        <v>368</v>
      </c>
      <c r="J182" s="99" t="s">
        <v>22</v>
      </c>
      <c r="K182" s="99">
        <v>1</v>
      </c>
      <c r="L182" s="99">
        <v>1</v>
      </c>
      <c r="M182" s="123">
        <v>1</v>
      </c>
    </row>
    <row r="183" spans="1:13" ht="15.75" thickBot="1" x14ac:dyDescent="0.3">
      <c r="A183" s="72"/>
      <c r="B183" s="75"/>
      <c r="C183" s="75"/>
      <c r="D183" s="8" t="s">
        <v>108</v>
      </c>
      <c r="E183" s="8"/>
      <c r="F183" s="44">
        <v>3</v>
      </c>
      <c r="G183" s="44"/>
      <c r="H183" s="44"/>
      <c r="I183" s="86"/>
      <c r="J183" s="101"/>
      <c r="K183" s="101"/>
      <c r="L183" s="101"/>
      <c r="M183" s="124"/>
    </row>
    <row r="184" spans="1:13" ht="19.5" customHeight="1" x14ac:dyDescent="0.25">
      <c r="A184" s="70" t="s">
        <v>369</v>
      </c>
      <c r="B184" s="73" t="s">
        <v>370</v>
      </c>
      <c r="C184" s="73" t="s">
        <v>183</v>
      </c>
      <c r="D184" s="84" t="s">
        <v>371</v>
      </c>
      <c r="E184" s="84"/>
      <c r="F184" s="103">
        <f>SUM(F185:F189)+147</f>
        <v>147</v>
      </c>
      <c r="G184" s="103">
        <f>SUM(G185:G189)+147</f>
        <v>147</v>
      </c>
      <c r="H184" s="103">
        <f>SUM(H185:H189)+147.1</f>
        <v>147.1</v>
      </c>
      <c r="I184" s="11" t="s">
        <v>372</v>
      </c>
      <c r="J184" s="13" t="s">
        <v>373</v>
      </c>
      <c r="K184" s="13">
        <v>300</v>
      </c>
      <c r="L184" s="13">
        <v>600</v>
      </c>
      <c r="M184" s="24">
        <v>800</v>
      </c>
    </row>
    <row r="185" spans="1:13" x14ac:dyDescent="0.25">
      <c r="A185" s="71"/>
      <c r="B185" s="74"/>
      <c r="C185" s="74"/>
      <c r="D185" s="85"/>
      <c r="E185" s="85"/>
      <c r="F185" s="108"/>
      <c r="G185" s="108"/>
      <c r="H185" s="108"/>
      <c r="I185" s="8" t="s">
        <v>374</v>
      </c>
      <c r="J185" s="9" t="s">
        <v>375</v>
      </c>
      <c r="K185" s="9">
        <v>0.5</v>
      </c>
      <c r="L185" s="9">
        <v>1</v>
      </c>
      <c r="M185" s="23">
        <v>1</v>
      </c>
    </row>
    <row r="186" spans="1:13" ht="30" x14ac:dyDescent="0.25">
      <c r="A186" s="71"/>
      <c r="B186" s="74"/>
      <c r="C186" s="74"/>
      <c r="D186" s="85"/>
      <c r="E186" s="85"/>
      <c r="F186" s="108"/>
      <c r="G186" s="108"/>
      <c r="H186" s="108"/>
      <c r="I186" s="8" t="s">
        <v>376</v>
      </c>
      <c r="J186" s="9" t="s">
        <v>22</v>
      </c>
      <c r="K186" s="9">
        <v>0</v>
      </c>
      <c r="L186" s="9">
        <v>0</v>
      </c>
      <c r="M186" s="23">
        <v>5</v>
      </c>
    </row>
    <row r="187" spans="1:13" ht="18.75" customHeight="1" x14ac:dyDescent="0.25">
      <c r="A187" s="71"/>
      <c r="B187" s="74"/>
      <c r="C187" s="74"/>
      <c r="D187" s="85"/>
      <c r="E187" s="85"/>
      <c r="F187" s="108"/>
      <c r="G187" s="108"/>
      <c r="H187" s="108"/>
      <c r="I187" s="8" t="s">
        <v>377</v>
      </c>
      <c r="J187" s="9" t="s">
        <v>375</v>
      </c>
      <c r="K187" s="9">
        <v>0</v>
      </c>
      <c r="L187" s="9">
        <v>0</v>
      </c>
      <c r="M187" s="23">
        <v>5</v>
      </c>
    </row>
    <row r="188" spans="1:13" x14ac:dyDescent="0.25">
      <c r="A188" s="71"/>
      <c r="B188" s="74"/>
      <c r="C188" s="74"/>
      <c r="D188" s="85"/>
      <c r="E188" s="85"/>
      <c r="F188" s="108"/>
      <c r="G188" s="108"/>
      <c r="H188" s="108"/>
      <c r="I188" s="8" t="s">
        <v>378</v>
      </c>
      <c r="J188" s="9" t="s">
        <v>379</v>
      </c>
      <c r="K188" s="26">
        <v>7000</v>
      </c>
      <c r="L188" s="26">
        <v>6000</v>
      </c>
      <c r="M188" s="27">
        <v>5000</v>
      </c>
    </row>
    <row r="189" spans="1:13" ht="15.75" thickBot="1" x14ac:dyDescent="0.3">
      <c r="A189" s="72"/>
      <c r="B189" s="75"/>
      <c r="C189" s="75"/>
      <c r="D189" s="86"/>
      <c r="E189" s="86"/>
      <c r="F189" s="104"/>
      <c r="G189" s="104"/>
      <c r="H189" s="104"/>
      <c r="I189" s="8" t="s">
        <v>380</v>
      </c>
      <c r="J189" s="9" t="s">
        <v>22</v>
      </c>
      <c r="K189" s="9">
        <v>100</v>
      </c>
      <c r="L189" s="9">
        <v>100</v>
      </c>
      <c r="M189" s="23">
        <v>100</v>
      </c>
    </row>
    <row r="190" spans="1:13" ht="45" x14ac:dyDescent="0.25">
      <c r="A190" s="70" t="s">
        <v>381</v>
      </c>
      <c r="B190" s="73" t="s">
        <v>382</v>
      </c>
      <c r="C190" s="73" t="s">
        <v>183</v>
      </c>
      <c r="D190" s="11"/>
      <c r="E190" s="11"/>
      <c r="F190" s="52">
        <f>SUM(F191:F192)</f>
        <v>230</v>
      </c>
      <c r="G190" s="52">
        <f>SUM(G191:G192)</f>
        <v>230</v>
      </c>
      <c r="H190" s="52">
        <f>SUM(H191:H192)</f>
        <v>230</v>
      </c>
      <c r="I190" s="11" t="s">
        <v>383</v>
      </c>
      <c r="J190" s="13" t="s">
        <v>27</v>
      </c>
      <c r="K190" s="13">
        <v>100</v>
      </c>
      <c r="L190" s="13">
        <v>100</v>
      </c>
      <c r="M190" s="24">
        <v>100</v>
      </c>
    </row>
    <row r="191" spans="1:13" ht="30" x14ac:dyDescent="0.25">
      <c r="A191" s="71"/>
      <c r="B191" s="74"/>
      <c r="C191" s="74"/>
      <c r="D191" s="8" t="s">
        <v>42</v>
      </c>
      <c r="E191" s="8"/>
      <c r="F191" s="44">
        <v>120</v>
      </c>
      <c r="G191" s="44">
        <v>120</v>
      </c>
      <c r="H191" s="44">
        <v>120</v>
      </c>
      <c r="I191" s="8" t="s">
        <v>384</v>
      </c>
      <c r="J191" s="9" t="s">
        <v>379</v>
      </c>
      <c r="K191" s="26">
        <v>8000</v>
      </c>
      <c r="L191" s="26">
        <v>8000</v>
      </c>
      <c r="M191" s="27">
        <v>8000</v>
      </c>
    </row>
    <row r="192" spans="1:13" ht="30.75" thickBot="1" x14ac:dyDescent="0.3">
      <c r="A192" s="72"/>
      <c r="B192" s="75"/>
      <c r="C192" s="75"/>
      <c r="D192" s="8" t="s">
        <v>371</v>
      </c>
      <c r="E192" s="8"/>
      <c r="F192" s="44">
        <v>110</v>
      </c>
      <c r="G192" s="44">
        <v>110</v>
      </c>
      <c r="H192" s="44">
        <v>110</v>
      </c>
      <c r="I192" s="8" t="s">
        <v>385</v>
      </c>
      <c r="J192" s="9" t="s">
        <v>27</v>
      </c>
      <c r="K192" s="9">
        <v>0</v>
      </c>
      <c r="L192" s="9">
        <v>0</v>
      </c>
      <c r="M192" s="23">
        <v>3</v>
      </c>
    </row>
    <row r="193" spans="1:13" x14ac:dyDescent="0.25">
      <c r="A193" s="70" t="s">
        <v>386</v>
      </c>
      <c r="B193" s="73" t="s">
        <v>387</v>
      </c>
      <c r="C193" s="73" t="s">
        <v>183</v>
      </c>
      <c r="D193" s="11"/>
      <c r="E193" s="11"/>
      <c r="F193" s="52">
        <f>SUM(F194:F195)</f>
        <v>360</v>
      </c>
      <c r="G193" s="52">
        <f>SUM(G194:G195)</f>
        <v>341</v>
      </c>
      <c r="H193" s="52">
        <f>SUM(H194:H195)</f>
        <v>245</v>
      </c>
      <c r="I193" s="11" t="s">
        <v>388</v>
      </c>
      <c r="J193" s="13" t="s">
        <v>22</v>
      </c>
      <c r="K193" s="13">
        <v>70</v>
      </c>
      <c r="L193" s="13">
        <v>70</v>
      </c>
      <c r="M193" s="24">
        <v>70</v>
      </c>
    </row>
    <row r="194" spans="1:13" ht="30" customHeight="1" x14ac:dyDescent="0.25">
      <c r="A194" s="71"/>
      <c r="B194" s="74"/>
      <c r="C194" s="74"/>
      <c r="D194" s="8" t="s">
        <v>371</v>
      </c>
      <c r="E194" s="8"/>
      <c r="F194" s="44">
        <v>75</v>
      </c>
      <c r="G194" s="44">
        <v>71</v>
      </c>
      <c r="H194" s="44">
        <v>70</v>
      </c>
      <c r="I194" s="98" t="s">
        <v>389</v>
      </c>
      <c r="J194" s="99" t="s">
        <v>27</v>
      </c>
      <c r="K194" s="99">
        <v>50</v>
      </c>
      <c r="L194" s="99">
        <v>100</v>
      </c>
      <c r="M194" s="123">
        <v>0</v>
      </c>
    </row>
    <row r="195" spans="1:13" ht="15.75" thickBot="1" x14ac:dyDescent="0.3">
      <c r="A195" s="72"/>
      <c r="B195" s="75"/>
      <c r="C195" s="75"/>
      <c r="D195" s="8" t="s">
        <v>42</v>
      </c>
      <c r="E195" s="8"/>
      <c r="F195" s="44">
        <v>285</v>
      </c>
      <c r="G195" s="44">
        <v>270</v>
      </c>
      <c r="H195" s="44">
        <v>175</v>
      </c>
      <c r="I195" s="86"/>
      <c r="J195" s="101"/>
      <c r="K195" s="101"/>
      <c r="L195" s="101"/>
      <c r="M195" s="124"/>
    </row>
    <row r="196" spans="1:13" ht="18.75" customHeight="1" x14ac:dyDescent="0.25">
      <c r="A196" s="70" t="s">
        <v>390</v>
      </c>
      <c r="B196" s="73" t="s">
        <v>391</v>
      </c>
      <c r="C196" s="73" t="s">
        <v>183</v>
      </c>
      <c r="D196" s="84" t="s">
        <v>371</v>
      </c>
      <c r="E196" s="84"/>
      <c r="F196" s="103">
        <f>SUM(F197:F199)+100</f>
        <v>100</v>
      </c>
      <c r="G196" s="103">
        <f>SUM(G197:G199)+100</f>
        <v>100</v>
      </c>
      <c r="H196" s="103">
        <f>SUM(H197:H199)+100</f>
        <v>100</v>
      </c>
      <c r="I196" s="11" t="s">
        <v>392</v>
      </c>
      <c r="J196" s="13" t="s">
        <v>393</v>
      </c>
      <c r="K196" s="13">
        <v>242</v>
      </c>
      <c r="L196" s="13">
        <v>242</v>
      </c>
      <c r="M196" s="24">
        <v>242</v>
      </c>
    </row>
    <row r="197" spans="1:13" x14ac:dyDescent="0.25">
      <c r="A197" s="71"/>
      <c r="B197" s="74"/>
      <c r="C197" s="74"/>
      <c r="D197" s="85"/>
      <c r="E197" s="85"/>
      <c r="F197" s="108"/>
      <c r="G197" s="108"/>
      <c r="H197" s="108"/>
      <c r="I197" s="8" t="s">
        <v>394</v>
      </c>
      <c r="J197" s="9" t="s">
        <v>27</v>
      </c>
      <c r="K197" s="9">
        <v>50</v>
      </c>
      <c r="L197" s="9">
        <v>100</v>
      </c>
      <c r="M197" s="23">
        <v>0</v>
      </c>
    </row>
    <row r="198" spans="1:13" ht="30" x14ac:dyDescent="0.25">
      <c r="A198" s="71"/>
      <c r="B198" s="74"/>
      <c r="C198" s="74"/>
      <c r="D198" s="85"/>
      <c r="E198" s="85"/>
      <c r="F198" s="108"/>
      <c r="G198" s="108"/>
      <c r="H198" s="108"/>
      <c r="I198" s="8" t="s">
        <v>395</v>
      </c>
      <c r="J198" s="9" t="s">
        <v>393</v>
      </c>
      <c r="K198" s="9">
        <v>13</v>
      </c>
      <c r="L198" s="9">
        <v>13</v>
      </c>
      <c r="M198" s="23">
        <v>13</v>
      </c>
    </row>
    <row r="199" spans="1:13" ht="30.75" thickBot="1" x14ac:dyDescent="0.3">
      <c r="A199" s="72"/>
      <c r="B199" s="75"/>
      <c r="C199" s="75"/>
      <c r="D199" s="86"/>
      <c r="E199" s="86"/>
      <c r="F199" s="104"/>
      <c r="G199" s="104"/>
      <c r="H199" s="104"/>
      <c r="I199" s="8" t="s">
        <v>396</v>
      </c>
      <c r="J199" s="9" t="s">
        <v>22</v>
      </c>
      <c r="K199" s="9">
        <v>1</v>
      </c>
      <c r="L199" s="9">
        <v>1</v>
      </c>
      <c r="M199" s="23">
        <v>1</v>
      </c>
    </row>
    <row r="200" spans="1:13" ht="45.75" thickBot="1" x14ac:dyDescent="0.3">
      <c r="A200" s="10" t="s">
        <v>397</v>
      </c>
      <c r="B200" s="11" t="s">
        <v>398</v>
      </c>
      <c r="C200" s="12" t="s">
        <v>399</v>
      </c>
      <c r="D200" s="11" t="s">
        <v>371</v>
      </c>
      <c r="E200" s="11"/>
      <c r="F200" s="56">
        <v>5</v>
      </c>
      <c r="G200" s="56">
        <v>5</v>
      </c>
      <c r="H200" s="56">
        <v>5</v>
      </c>
      <c r="I200" s="11" t="s">
        <v>400</v>
      </c>
      <c r="J200" s="13" t="s">
        <v>27</v>
      </c>
      <c r="K200" s="13">
        <v>100</v>
      </c>
      <c r="L200" s="13">
        <v>100</v>
      </c>
      <c r="M200" s="24">
        <v>100</v>
      </c>
    </row>
    <row r="201" spans="1:13" ht="30" x14ac:dyDescent="0.25">
      <c r="A201" s="70" t="s">
        <v>401</v>
      </c>
      <c r="B201" s="73" t="s">
        <v>402</v>
      </c>
      <c r="C201" s="73" t="s">
        <v>183</v>
      </c>
      <c r="D201" s="84" t="s">
        <v>42</v>
      </c>
      <c r="E201" s="84"/>
      <c r="F201" s="103">
        <f>SUM(F202:F202)+76</f>
        <v>76</v>
      </c>
      <c r="G201" s="103">
        <f>SUM(G202:G202)+35</f>
        <v>35</v>
      </c>
      <c r="H201" s="103">
        <f>SUM(H202:H202)+35</f>
        <v>35</v>
      </c>
      <c r="I201" s="11" t="s">
        <v>403</v>
      </c>
      <c r="J201" s="13" t="s">
        <v>116</v>
      </c>
      <c r="K201" s="13">
        <v>18</v>
      </c>
      <c r="L201" s="13">
        <v>18</v>
      </c>
      <c r="M201" s="24">
        <v>18</v>
      </c>
    </row>
    <row r="202" spans="1:13" ht="15.75" thickBot="1" x14ac:dyDescent="0.3">
      <c r="A202" s="72"/>
      <c r="B202" s="75"/>
      <c r="C202" s="75"/>
      <c r="D202" s="86"/>
      <c r="E202" s="86"/>
      <c r="F202" s="104"/>
      <c r="G202" s="104"/>
      <c r="H202" s="104"/>
      <c r="I202" s="8" t="s">
        <v>404</v>
      </c>
      <c r="J202" s="9" t="s">
        <v>22</v>
      </c>
      <c r="K202" s="9">
        <v>100</v>
      </c>
      <c r="L202" s="9">
        <v>100</v>
      </c>
      <c r="M202" s="23">
        <v>100</v>
      </c>
    </row>
    <row r="203" spans="1:13" x14ac:dyDescent="0.25">
      <c r="A203" s="70" t="s">
        <v>405</v>
      </c>
      <c r="B203" s="73" t="s">
        <v>406</v>
      </c>
      <c r="C203" s="73" t="s">
        <v>183</v>
      </c>
      <c r="D203" s="84" t="s">
        <v>371</v>
      </c>
      <c r="E203" s="84"/>
      <c r="F203" s="103">
        <f>SUM(F204:F206)+13</f>
        <v>13</v>
      </c>
      <c r="G203" s="103">
        <f>SUM(G204:G206)+13</f>
        <v>13</v>
      </c>
      <c r="H203" s="103">
        <f>SUM(H204:H206)+13</f>
        <v>13</v>
      </c>
      <c r="I203" s="11" t="s">
        <v>407</v>
      </c>
      <c r="J203" s="13" t="s">
        <v>22</v>
      </c>
      <c r="K203" s="13">
        <v>5</v>
      </c>
      <c r="L203" s="13">
        <v>5</v>
      </c>
      <c r="M203" s="24">
        <v>5</v>
      </c>
    </row>
    <row r="204" spans="1:13" x14ac:dyDescent="0.25">
      <c r="A204" s="71"/>
      <c r="B204" s="74"/>
      <c r="C204" s="74"/>
      <c r="D204" s="85"/>
      <c r="E204" s="85"/>
      <c r="F204" s="108"/>
      <c r="G204" s="108"/>
      <c r="H204" s="108"/>
      <c r="I204" s="8" t="s">
        <v>408</v>
      </c>
      <c r="J204" s="9" t="s">
        <v>22</v>
      </c>
      <c r="K204" s="9">
        <v>16</v>
      </c>
      <c r="L204" s="9">
        <v>16</v>
      </c>
      <c r="M204" s="23">
        <v>16</v>
      </c>
    </row>
    <row r="205" spans="1:13" ht="30" x14ac:dyDescent="0.25">
      <c r="A205" s="71"/>
      <c r="B205" s="74"/>
      <c r="C205" s="74"/>
      <c r="D205" s="85"/>
      <c r="E205" s="85"/>
      <c r="F205" s="108"/>
      <c r="G205" s="108"/>
      <c r="H205" s="108"/>
      <c r="I205" s="8" t="s">
        <v>409</v>
      </c>
      <c r="J205" s="9" t="s">
        <v>22</v>
      </c>
      <c r="K205" s="9">
        <v>2</v>
      </c>
      <c r="L205" s="9">
        <v>2</v>
      </c>
      <c r="M205" s="23">
        <v>2</v>
      </c>
    </row>
    <row r="206" spans="1:13" ht="30.75" thickBot="1" x14ac:dyDescent="0.3">
      <c r="A206" s="72"/>
      <c r="B206" s="75"/>
      <c r="C206" s="75"/>
      <c r="D206" s="86"/>
      <c r="E206" s="86"/>
      <c r="F206" s="104"/>
      <c r="G206" s="104"/>
      <c r="H206" s="104"/>
      <c r="I206" s="8" t="s">
        <v>410</v>
      </c>
      <c r="J206" s="9" t="s">
        <v>22</v>
      </c>
      <c r="K206" s="9">
        <v>2</v>
      </c>
      <c r="L206" s="9">
        <v>2</v>
      </c>
      <c r="M206" s="23">
        <v>2</v>
      </c>
    </row>
    <row r="207" spans="1:13" ht="30" x14ac:dyDescent="0.25">
      <c r="A207" s="76" t="s">
        <v>411</v>
      </c>
      <c r="B207" s="78" t="s">
        <v>412</v>
      </c>
      <c r="C207" s="79"/>
      <c r="D207" s="79"/>
      <c r="E207" s="80"/>
      <c r="F207" s="121">
        <f>SUM(F208:F209)</f>
        <v>5030</v>
      </c>
      <c r="G207" s="121">
        <f>SUM(G208:G209)</f>
        <v>5034</v>
      </c>
      <c r="H207" s="121">
        <f>SUM(H208:H209)</f>
        <v>5035</v>
      </c>
      <c r="I207" s="64" t="s">
        <v>413</v>
      </c>
      <c r="J207" s="7" t="s">
        <v>27</v>
      </c>
      <c r="K207" s="7">
        <v>10</v>
      </c>
      <c r="L207" s="7">
        <v>8</v>
      </c>
      <c r="M207" s="25">
        <v>5</v>
      </c>
    </row>
    <row r="208" spans="1:13" ht="15.75" thickBot="1" x14ac:dyDescent="0.3">
      <c r="A208" s="77"/>
      <c r="B208" s="81"/>
      <c r="C208" s="82"/>
      <c r="D208" s="82"/>
      <c r="E208" s="83"/>
      <c r="F208" s="122"/>
      <c r="G208" s="122"/>
      <c r="H208" s="122"/>
      <c r="I208" s="65" t="s">
        <v>414</v>
      </c>
      <c r="J208" s="34" t="s">
        <v>415</v>
      </c>
      <c r="K208" s="34">
        <v>358</v>
      </c>
      <c r="L208" s="34">
        <v>358</v>
      </c>
      <c r="M208" s="35">
        <v>358</v>
      </c>
    </row>
    <row r="209" spans="1:13" x14ac:dyDescent="0.25">
      <c r="A209" s="70" t="s">
        <v>416</v>
      </c>
      <c r="B209" s="73" t="s">
        <v>417</v>
      </c>
      <c r="C209" s="73" t="s">
        <v>418</v>
      </c>
      <c r="D209" s="11"/>
      <c r="E209" s="11"/>
      <c r="F209" s="52">
        <f>SUM(F210:F211)</f>
        <v>5030</v>
      </c>
      <c r="G209" s="52">
        <f>SUM(G210:G211)</f>
        <v>5034</v>
      </c>
      <c r="H209" s="52">
        <f>SUM(H210:H211)</f>
        <v>5035</v>
      </c>
      <c r="I209" s="11" t="s">
        <v>419</v>
      </c>
      <c r="J209" s="13" t="s">
        <v>420</v>
      </c>
      <c r="K209" s="30">
        <v>37000</v>
      </c>
      <c r="L209" s="30">
        <v>37000</v>
      </c>
      <c r="M209" s="31">
        <v>37000</v>
      </c>
    </row>
    <row r="210" spans="1:13" ht="30" customHeight="1" x14ac:dyDescent="0.25">
      <c r="A210" s="71"/>
      <c r="B210" s="74"/>
      <c r="C210" s="74"/>
      <c r="D210" s="8" t="s">
        <v>371</v>
      </c>
      <c r="E210" s="8"/>
      <c r="F210" s="44">
        <v>30</v>
      </c>
      <c r="G210" s="44">
        <v>34</v>
      </c>
      <c r="H210" s="44">
        <v>35</v>
      </c>
      <c r="I210" s="98" t="s">
        <v>421</v>
      </c>
      <c r="J210" s="99" t="s">
        <v>27</v>
      </c>
      <c r="K210" s="99">
        <v>51</v>
      </c>
      <c r="L210" s="99">
        <v>52</v>
      </c>
      <c r="M210" s="123">
        <v>53</v>
      </c>
    </row>
    <row r="211" spans="1:13" ht="15.75" thickBot="1" x14ac:dyDescent="0.3">
      <c r="A211" s="72"/>
      <c r="B211" s="75"/>
      <c r="C211" s="75"/>
      <c r="D211" s="8" t="s">
        <v>42</v>
      </c>
      <c r="E211" s="8"/>
      <c r="F211" s="44">
        <v>5000</v>
      </c>
      <c r="G211" s="44">
        <v>5000</v>
      </c>
      <c r="H211" s="44">
        <v>5000</v>
      </c>
      <c r="I211" s="86"/>
      <c r="J211" s="101"/>
      <c r="K211" s="101"/>
      <c r="L211" s="101"/>
      <c r="M211" s="124"/>
    </row>
    <row r="212" spans="1:13" ht="33" customHeight="1" thickBot="1" x14ac:dyDescent="0.3">
      <c r="A212" s="4" t="s">
        <v>422</v>
      </c>
      <c r="B212" s="5" t="s">
        <v>423</v>
      </c>
      <c r="C212" s="91" t="s">
        <v>424</v>
      </c>
      <c r="D212" s="92"/>
      <c r="E212" s="93"/>
      <c r="F212" s="53">
        <f>F213+F257+F302</f>
        <v>49423.6</v>
      </c>
      <c r="G212" s="53">
        <f>G213+G257+G302</f>
        <v>60796.1</v>
      </c>
      <c r="H212" s="53">
        <f>H213+H257+H302</f>
        <v>53607.1</v>
      </c>
      <c r="I212" s="88"/>
      <c r="J212" s="89"/>
      <c r="K212" s="89"/>
      <c r="L212" s="89"/>
      <c r="M212" s="90"/>
    </row>
    <row r="213" spans="1:13" ht="45.75" thickBot="1" x14ac:dyDescent="0.3">
      <c r="A213" s="6" t="s">
        <v>425</v>
      </c>
      <c r="B213" s="115" t="s">
        <v>426</v>
      </c>
      <c r="C213" s="116"/>
      <c r="D213" s="116"/>
      <c r="E213" s="117"/>
      <c r="F213" s="54">
        <f>F214+F216+F238+F240+F241+F246+F249+F251+F254+F255+F256</f>
        <v>2255.2000000000003</v>
      </c>
      <c r="G213" s="54">
        <f>G214+G216+G238+G240+G241+G246+G249+G251+G254+G255+G256</f>
        <v>1068</v>
      </c>
      <c r="H213" s="54">
        <f>H214+H216+H238+H240+H241+H246+H249+H251+H254+H255+H256</f>
        <v>1083</v>
      </c>
      <c r="I213" s="64" t="s">
        <v>428</v>
      </c>
      <c r="J213" s="7" t="s">
        <v>27</v>
      </c>
      <c r="K213" s="7">
        <v>3</v>
      </c>
      <c r="L213" s="7">
        <v>4</v>
      </c>
      <c r="M213" s="25">
        <v>5</v>
      </c>
    </row>
    <row r="214" spans="1:13" x14ac:dyDescent="0.25">
      <c r="A214" s="70" t="s">
        <v>429</v>
      </c>
      <c r="B214" s="73" t="s">
        <v>430</v>
      </c>
      <c r="C214" s="73" t="s">
        <v>427</v>
      </c>
      <c r="D214" s="84" t="s">
        <v>42</v>
      </c>
      <c r="E214" s="84"/>
      <c r="F214" s="103">
        <f>SUM(F215:F215)+65.3</f>
        <v>65.3</v>
      </c>
      <c r="G214" s="103">
        <f>SUM(G215:G215)</f>
        <v>0</v>
      </c>
      <c r="H214" s="103">
        <f>SUM(H215:H215)+20</f>
        <v>20</v>
      </c>
      <c r="I214" s="11" t="s">
        <v>431</v>
      </c>
      <c r="J214" s="13" t="s">
        <v>22</v>
      </c>
      <c r="K214" s="13">
        <v>1</v>
      </c>
      <c r="L214" s="13"/>
      <c r="M214" s="24"/>
    </row>
    <row r="215" spans="1:13" ht="60.75" customHeight="1" thickBot="1" x14ac:dyDescent="0.3">
      <c r="A215" s="72"/>
      <c r="B215" s="75"/>
      <c r="C215" s="75"/>
      <c r="D215" s="86"/>
      <c r="E215" s="86"/>
      <c r="F215" s="104"/>
      <c r="G215" s="104"/>
      <c r="H215" s="104"/>
      <c r="I215" s="8" t="s">
        <v>432</v>
      </c>
      <c r="J215" s="9" t="s">
        <v>22</v>
      </c>
      <c r="K215" s="9">
        <v>1</v>
      </c>
      <c r="L215" s="9"/>
      <c r="M215" s="23">
        <v>1</v>
      </c>
    </row>
    <row r="216" spans="1:13" ht="31.5" customHeight="1" thickBot="1" x14ac:dyDescent="0.3">
      <c r="A216" s="70" t="s">
        <v>433</v>
      </c>
      <c r="B216" s="73" t="s">
        <v>434</v>
      </c>
      <c r="C216" s="73" t="s">
        <v>427</v>
      </c>
      <c r="D216" s="11" t="s">
        <v>42</v>
      </c>
      <c r="E216" s="11"/>
      <c r="F216" s="52">
        <f>SUM(F217:F237)+306</f>
        <v>306</v>
      </c>
      <c r="G216" s="52">
        <f>SUM(G217:G237)+250</f>
        <v>250</v>
      </c>
      <c r="H216" s="52">
        <f>SUM(H217:H237)+270</f>
        <v>270</v>
      </c>
      <c r="I216" s="11" t="s">
        <v>435</v>
      </c>
      <c r="J216" s="13" t="s">
        <v>22</v>
      </c>
      <c r="K216" s="13">
        <v>5</v>
      </c>
      <c r="L216" s="13">
        <v>11</v>
      </c>
      <c r="M216" s="24">
        <v>12</v>
      </c>
    </row>
    <row r="217" spans="1:13" ht="30.75" hidden="1" thickBot="1" x14ac:dyDescent="0.3">
      <c r="A217" s="71"/>
      <c r="B217" s="74"/>
      <c r="C217" s="74"/>
      <c r="D217" s="8"/>
      <c r="E217" s="8"/>
      <c r="F217" s="44">
        <v>0</v>
      </c>
      <c r="G217" s="44">
        <v>0</v>
      </c>
      <c r="H217" s="44">
        <v>0</v>
      </c>
      <c r="I217" s="8" t="s">
        <v>436</v>
      </c>
      <c r="J217" s="9" t="s">
        <v>22</v>
      </c>
      <c r="K217" s="9">
        <v>1</v>
      </c>
      <c r="L217" s="9"/>
      <c r="M217" s="23"/>
    </row>
    <row r="218" spans="1:13" ht="30.75" hidden="1" thickBot="1" x14ac:dyDescent="0.3">
      <c r="A218" s="71"/>
      <c r="B218" s="74"/>
      <c r="C218" s="74"/>
      <c r="D218" s="8"/>
      <c r="E218" s="8"/>
      <c r="F218" s="44">
        <v>0</v>
      </c>
      <c r="G218" s="44">
        <v>0</v>
      </c>
      <c r="H218" s="44">
        <v>0</v>
      </c>
      <c r="I218" s="8" t="s">
        <v>437</v>
      </c>
      <c r="J218" s="9" t="s">
        <v>22</v>
      </c>
      <c r="K218" s="9">
        <v>1</v>
      </c>
      <c r="L218" s="9"/>
      <c r="M218" s="23"/>
    </row>
    <row r="219" spans="1:13" ht="12.75" hidden="1" customHeight="1" thickBot="1" x14ac:dyDescent="0.3">
      <c r="A219" s="71"/>
      <c r="B219" s="74"/>
      <c r="C219" s="74"/>
      <c r="D219" s="8"/>
      <c r="E219" s="8"/>
      <c r="F219" s="44">
        <v>0</v>
      </c>
      <c r="G219" s="44">
        <v>0</v>
      </c>
      <c r="H219" s="44">
        <v>0</v>
      </c>
      <c r="I219" s="8" t="s">
        <v>438</v>
      </c>
      <c r="J219" s="9" t="s">
        <v>22</v>
      </c>
      <c r="K219" s="9">
        <v>1</v>
      </c>
      <c r="L219" s="9"/>
      <c r="M219" s="23"/>
    </row>
    <row r="220" spans="1:13" ht="30.75" hidden="1" thickBot="1" x14ac:dyDescent="0.3">
      <c r="A220" s="71"/>
      <c r="B220" s="74"/>
      <c r="C220" s="74"/>
      <c r="D220" s="8"/>
      <c r="E220" s="8"/>
      <c r="F220" s="44">
        <v>0</v>
      </c>
      <c r="G220" s="44">
        <v>0</v>
      </c>
      <c r="H220" s="44">
        <v>0</v>
      </c>
      <c r="I220" s="8" t="s">
        <v>439</v>
      </c>
      <c r="J220" s="9" t="s">
        <v>22</v>
      </c>
      <c r="K220" s="9">
        <v>1</v>
      </c>
      <c r="L220" s="9"/>
      <c r="M220" s="23"/>
    </row>
    <row r="221" spans="1:13" ht="15.75" hidden="1" thickBot="1" x14ac:dyDescent="0.3">
      <c r="A221" s="71"/>
      <c r="B221" s="74"/>
      <c r="C221" s="74"/>
      <c r="D221" s="8"/>
      <c r="E221" s="8"/>
      <c r="F221" s="44">
        <v>0</v>
      </c>
      <c r="G221" s="44">
        <v>0</v>
      </c>
      <c r="H221" s="44">
        <v>0</v>
      </c>
      <c r="I221" s="8" t="s">
        <v>440</v>
      </c>
      <c r="J221" s="9" t="s">
        <v>22</v>
      </c>
      <c r="K221" s="9">
        <v>1</v>
      </c>
      <c r="L221" s="9"/>
      <c r="M221" s="23"/>
    </row>
    <row r="222" spans="1:13" ht="30.75" hidden="1" thickBot="1" x14ac:dyDescent="0.3">
      <c r="A222" s="71"/>
      <c r="B222" s="74"/>
      <c r="C222" s="74"/>
      <c r="D222" s="8"/>
      <c r="E222" s="8"/>
      <c r="F222" s="44">
        <v>0</v>
      </c>
      <c r="G222" s="44">
        <v>0</v>
      </c>
      <c r="H222" s="44">
        <v>0</v>
      </c>
      <c r="I222" s="8" t="s">
        <v>441</v>
      </c>
      <c r="J222" s="9" t="s">
        <v>22</v>
      </c>
      <c r="K222" s="9">
        <v>0</v>
      </c>
      <c r="L222" s="9">
        <v>0</v>
      </c>
      <c r="M222" s="23">
        <v>0</v>
      </c>
    </row>
    <row r="223" spans="1:13" ht="45.75" hidden="1" thickBot="1" x14ac:dyDescent="0.3">
      <c r="A223" s="71"/>
      <c r="B223" s="74"/>
      <c r="C223" s="74"/>
      <c r="D223" s="8"/>
      <c r="E223" s="8"/>
      <c r="F223" s="44">
        <v>0</v>
      </c>
      <c r="G223" s="44">
        <v>0</v>
      </c>
      <c r="H223" s="44">
        <v>0</v>
      </c>
      <c r="I223" s="8" t="s">
        <v>442</v>
      </c>
      <c r="J223" s="9" t="s">
        <v>22</v>
      </c>
      <c r="K223" s="9"/>
      <c r="L223" s="9">
        <v>1</v>
      </c>
      <c r="M223" s="23"/>
    </row>
    <row r="224" spans="1:13" ht="30.75" hidden="1" thickBot="1" x14ac:dyDescent="0.3">
      <c r="A224" s="71"/>
      <c r="B224" s="74"/>
      <c r="C224" s="74"/>
      <c r="D224" s="8"/>
      <c r="E224" s="8"/>
      <c r="F224" s="44">
        <v>0</v>
      </c>
      <c r="G224" s="44">
        <v>0</v>
      </c>
      <c r="H224" s="44">
        <v>0</v>
      </c>
      <c r="I224" s="8" t="s">
        <v>443</v>
      </c>
      <c r="J224" s="9" t="s">
        <v>22</v>
      </c>
      <c r="K224" s="9"/>
      <c r="L224" s="9">
        <v>1</v>
      </c>
      <c r="M224" s="23"/>
    </row>
    <row r="225" spans="1:13" ht="30.75" hidden="1" thickBot="1" x14ac:dyDescent="0.3">
      <c r="A225" s="71"/>
      <c r="B225" s="74"/>
      <c r="C225" s="74"/>
      <c r="D225" s="8"/>
      <c r="E225" s="8"/>
      <c r="F225" s="44">
        <v>0</v>
      </c>
      <c r="G225" s="44">
        <v>0</v>
      </c>
      <c r="H225" s="44">
        <v>0</v>
      </c>
      <c r="I225" s="8" t="s">
        <v>444</v>
      </c>
      <c r="J225" s="9" t="s">
        <v>22</v>
      </c>
      <c r="K225" s="9"/>
      <c r="L225" s="9">
        <v>1</v>
      </c>
      <c r="M225" s="23"/>
    </row>
    <row r="226" spans="1:13" ht="30.75" hidden="1" thickBot="1" x14ac:dyDescent="0.3">
      <c r="A226" s="71"/>
      <c r="B226" s="74"/>
      <c r="C226" s="74"/>
      <c r="D226" s="8"/>
      <c r="E226" s="8"/>
      <c r="F226" s="44">
        <v>0</v>
      </c>
      <c r="G226" s="44">
        <v>0</v>
      </c>
      <c r="H226" s="44">
        <v>0</v>
      </c>
      <c r="I226" s="8" t="s">
        <v>445</v>
      </c>
      <c r="J226" s="9" t="s">
        <v>22</v>
      </c>
      <c r="K226" s="9"/>
      <c r="L226" s="9">
        <v>1</v>
      </c>
      <c r="M226" s="23"/>
    </row>
    <row r="227" spans="1:13" ht="30.75" hidden="1" thickBot="1" x14ac:dyDescent="0.3">
      <c r="A227" s="71"/>
      <c r="B227" s="74"/>
      <c r="C227" s="74"/>
      <c r="D227" s="8"/>
      <c r="E227" s="8"/>
      <c r="F227" s="44">
        <v>0</v>
      </c>
      <c r="G227" s="44">
        <v>0</v>
      </c>
      <c r="H227" s="44">
        <v>0</v>
      </c>
      <c r="I227" s="8" t="s">
        <v>446</v>
      </c>
      <c r="J227" s="9" t="s">
        <v>22</v>
      </c>
      <c r="K227" s="9"/>
      <c r="L227" s="9">
        <v>1</v>
      </c>
      <c r="M227" s="23"/>
    </row>
    <row r="228" spans="1:13" ht="45.75" hidden="1" thickBot="1" x14ac:dyDescent="0.3">
      <c r="A228" s="71"/>
      <c r="B228" s="74"/>
      <c r="C228" s="74"/>
      <c r="D228" s="8"/>
      <c r="E228" s="8"/>
      <c r="F228" s="44">
        <v>0</v>
      </c>
      <c r="G228" s="44">
        <v>0</v>
      </c>
      <c r="H228" s="44">
        <v>0</v>
      </c>
      <c r="I228" s="8" t="s">
        <v>447</v>
      </c>
      <c r="J228" s="9" t="s">
        <v>22</v>
      </c>
      <c r="K228" s="9"/>
      <c r="L228" s="9">
        <v>1</v>
      </c>
      <c r="M228" s="23"/>
    </row>
    <row r="229" spans="1:13" ht="45.75" hidden="1" thickBot="1" x14ac:dyDescent="0.3">
      <c r="A229" s="71"/>
      <c r="B229" s="74"/>
      <c r="C229" s="74"/>
      <c r="D229" s="8"/>
      <c r="E229" s="8"/>
      <c r="F229" s="44">
        <v>0</v>
      </c>
      <c r="G229" s="44">
        <v>0</v>
      </c>
      <c r="H229" s="44">
        <v>0</v>
      </c>
      <c r="I229" s="8" t="s">
        <v>448</v>
      </c>
      <c r="J229" s="9" t="s">
        <v>22</v>
      </c>
      <c r="K229" s="9"/>
      <c r="L229" s="9">
        <v>1</v>
      </c>
      <c r="M229" s="23"/>
    </row>
    <row r="230" spans="1:13" ht="45.75" hidden="1" thickBot="1" x14ac:dyDescent="0.3">
      <c r="A230" s="71"/>
      <c r="B230" s="74"/>
      <c r="C230" s="74"/>
      <c r="D230" s="8"/>
      <c r="E230" s="8"/>
      <c r="F230" s="44">
        <v>0</v>
      </c>
      <c r="G230" s="44">
        <v>0</v>
      </c>
      <c r="H230" s="44">
        <v>0</v>
      </c>
      <c r="I230" s="8" t="s">
        <v>449</v>
      </c>
      <c r="J230" s="9" t="s">
        <v>22</v>
      </c>
      <c r="K230" s="9"/>
      <c r="L230" s="9">
        <v>1</v>
      </c>
      <c r="M230" s="23"/>
    </row>
    <row r="231" spans="1:13" ht="45.75" hidden="1" thickBot="1" x14ac:dyDescent="0.3">
      <c r="A231" s="71"/>
      <c r="B231" s="74"/>
      <c r="C231" s="74"/>
      <c r="D231" s="8"/>
      <c r="E231" s="8"/>
      <c r="F231" s="44">
        <v>0</v>
      </c>
      <c r="G231" s="44">
        <v>0</v>
      </c>
      <c r="H231" s="44">
        <v>0</v>
      </c>
      <c r="I231" s="8" t="s">
        <v>450</v>
      </c>
      <c r="J231" s="9" t="s">
        <v>22</v>
      </c>
      <c r="K231" s="9"/>
      <c r="L231" s="9">
        <v>1</v>
      </c>
      <c r="M231" s="23"/>
    </row>
    <row r="232" spans="1:13" ht="30.75" hidden="1" thickBot="1" x14ac:dyDescent="0.3">
      <c r="A232" s="71"/>
      <c r="B232" s="74"/>
      <c r="C232" s="74"/>
      <c r="D232" s="8"/>
      <c r="E232" s="8"/>
      <c r="F232" s="44">
        <v>0</v>
      </c>
      <c r="G232" s="44">
        <v>0</v>
      </c>
      <c r="H232" s="44">
        <v>0</v>
      </c>
      <c r="I232" s="8" t="s">
        <v>451</v>
      </c>
      <c r="J232" s="9" t="s">
        <v>22</v>
      </c>
      <c r="K232" s="9"/>
      <c r="L232" s="9">
        <v>1</v>
      </c>
      <c r="M232" s="23"/>
    </row>
    <row r="233" spans="1:13" ht="30.75" hidden="1" thickBot="1" x14ac:dyDescent="0.3">
      <c r="A233" s="71"/>
      <c r="B233" s="74"/>
      <c r="C233" s="74"/>
      <c r="D233" s="8"/>
      <c r="E233" s="8"/>
      <c r="F233" s="44">
        <v>0</v>
      </c>
      <c r="G233" s="44">
        <v>0</v>
      </c>
      <c r="H233" s="44">
        <v>0</v>
      </c>
      <c r="I233" s="8" t="s">
        <v>452</v>
      </c>
      <c r="J233" s="9" t="s">
        <v>22</v>
      </c>
      <c r="K233" s="9"/>
      <c r="L233" s="9">
        <v>1</v>
      </c>
      <c r="M233" s="23"/>
    </row>
    <row r="234" spans="1:13" ht="30.75" hidden="1" thickBot="1" x14ac:dyDescent="0.3">
      <c r="A234" s="71"/>
      <c r="B234" s="74"/>
      <c r="C234" s="74"/>
      <c r="D234" s="8"/>
      <c r="E234" s="8"/>
      <c r="F234" s="44">
        <v>0</v>
      </c>
      <c r="G234" s="44">
        <v>0</v>
      </c>
      <c r="H234" s="44">
        <v>0</v>
      </c>
      <c r="I234" s="8" t="s">
        <v>453</v>
      </c>
      <c r="J234" s="9" t="s">
        <v>22</v>
      </c>
      <c r="K234" s="9"/>
      <c r="L234" s="9"/>
      <c r="M234" s="23">
        <v>1</v>
      </c>
    </row>
    <row r="235" spans="1:13" ht="30.75" hidden="1" thickBot="1" x14ac:dyDescent="0.3">
      <c r="A235" s="71"/>
      <c r="B235" s="74"/>
      <c r="C235" s="74"/>
      <c r="D235" s="8"/>
      <c r="E235" s="8"/>
      <c r="F235" s="44">
        <v>0</v>
      </c>
      <c r="G235" s="44">
        <v>0</v>
      </c>
      <c r="H235" s="44">
        <v>0</v>
      </c>
      <c r="I235" s="8" t="s">
        <v>454</v>
      </c>
      <c r="J235" s="9" t="s">
        <v>22</v>
      </c>
      <c r="K235" s="9"/>
      <c r="L235" s="9"/>
      <c r="M235" s="23">
        <v>1</v>
      </c>
    </row>
    <row r="236" spans="1:13" ht="30.75" hidden="1" thickBot="1" x14ac:dyDescent="0.3">
      <c r="A236" s="71"/>
      <c r="B236" s="74"/>
      <c r="C236" s="74"/>
      <c r="D236" s="8"/>
      <c r="E236" s="8"/>
      <c r="F236" s="44">
        <v>0</v>
      </c>
      <c r="G236" s="44">
        <v>0</v>
      </c>
      <c r="H236" s="44">
        <v>0</v>
      </c>
      <c r="I236" s="8" t="s">
        <v>455</v>
      </c>
      <c r="J236" s="9" t="s">
        <v>22</v>
      </c>
      <c r="K236" s="9"/>
      <c r="L236" s="9"/>
      <c r="M236" s="23">
        <v>1</v>
      </c>
    </row>
    <row r="237" spans="1:13" ht="30.75" hidden="1" thickBot="1" x14ac:dyDescent="0.3">
      <c r="A237" s="72"/>
      <c r="B237" s="75"/>
      <c r="C237" s="75"/>
      <c r="D237" s="8"/>
      <c r="E237" s="8"/>
      <c r="F237" s="44">
        <v>0</v>
      </c>
      <c r="G237" s="44">
        <v>0</v>
      </c>
      <c r="H237" s="44">
        <v>0</v>
      </c>
      <c r="I237" s="8" t="s">
        <v>456</v>
      </c>
      <c r="J237" s="9" t="s">
        <v>22</v>
      </c>
      <c r="K237" s="9"/>
      <c r="L237" s="9"/>
      <c r="M237" s="23">
        <v>1</v>
      </c>
    </row>
    <row r="238" spans="1:13" ht="30" x14ac:dyDescent="0.25">
      <c r="A238" s="70" t="s">
        <v>457</v>
      </c>
      <c r="B238" s="73" t="s">
        <v>458</v>
      </c>
      <c r="C238" s="73" t="s">
        <v>459</v>
      </c>
      <c r="D238" s="84" t="s">
        <v>42</v>
      </c>
      <c r="E238" s="84"/>
      <c r="F238" s="103">
        <f>SUM(F239:F239)+5</f>
        <v>5</v>
      </c>
      <c r="G238" s="103">
        <f>SUM(G239:G239)+5</f>
        <v>5</v>
      </c>
      <c r="H238" s="103">
        <f>SUM(H239:H239)+10</f>
        <v>10</v>
      </c>
      <c r="I238" s="11" t="s">
        <v>460</v>
      </c>
      <c r="J238" s="13" t="s">
        <v>27</v>
      </c>
      <c r="K238" s="13">
        <v>20</v>
      </c>
      <c r="L238" s="13">
        <v>20</v>
      </c>
      <c r="M238" s="24">
        <v>20</v>
      </c>
    </row>
    <row r="239" spans="1:13" ht="15.75" thickBot="1" x14ac:dyDescent="0.3">
      <c r="A239" s="72"/>
      <c r="B239" s="75"/>
      <c r="C239" s="75"/>
      <c r="D239" s="86"/>
      <c r="E239" s="86"/>
      <c r="F239" s="104"/>
      <c r="G239" s="104"/>
      <c r="H239" s="104"/>
      <c r="I239" s="8" t="s">
        <v>461</v>
      </c>
      <c r="J239" s="9" t="s">
        <v>22</v>
      </c>
      <c r="K239" s="9">
        <v>1</v>
      </c>
      <c r="L239" s="9">
        <v>1</v>
      </c>
      <c r="M239" s="23">
        <v>1</v>
      </c>
    </row>
    <row r="240" spans="1:13" ht="45.75" thickBot="1" x14ac:dyDescent="0.3">
      <c r="A240" s="10" t="s">
        <v>462</v>
      </c>
      <c r="B240" s="11" t="s">
        <v>463</v>
      </c>
      <c r="C240" s="12" t="s">
        <v>459</v>
      </c>
      <c r="D240" s="11" t="s">
        <v>42</v>
      </c>
      <c r="E240" s="11"/>
      <c r="F240" s="56">
        <v>50</v>
      </c>
      <c r="G240" s="56">
        <v>20</v>
      </c>
      <c r="H240" s="56">
        <v>50</v>
      </c>
      <c r="I240" s="11" t="s">
        <v>464</v>
      </c>
      <c r="J240" s="13" t="s">
        <v>22</v>
      </c>
      <c r="K240" s="13">
        <v>80</v>
      </c>
      <c r="L240" s="13">
        <v>50</v>
      </c>
      <c r="M240" s="24">
        <v>50</v>
      </c>
    </row>
    <row r="241" spans="1:13" ht="30" x14ac:dyDescent="0.25">
      <c r="A241" s="70" t="s">
        <v>465</v>
      </c>
      <c r="B241" s="73" t="s">
        <v>466</v>
      </c>
      <c r="C241" s="73" t="s">
        <v>467</v>
      </c>
      <c r="D241" s="84" t="s">
        <v>42</v>
      </c>
      <c r="E241" s="84"/>
      <c r="F241" s="103">
        <f>SUM(F242:F245)+30</f>
        <v>30</v>
      </c>
      <c r="G241" s="103">
        <f>SUM(G242:G245)+30</f>
        <v>30</v>
      </c>
      <c r="H241" s="103">
        <f>SUM(H242:H245)+30</f>
        <v>30</v>
      </c>
      <c r="I241" s="11" t="s">
        <v>468</v>
      </c>
      <c r="J241" s="13" t="s">
        <v>22</v>
      </c>
      <c r="K241" s="13">
        <v>1</v>
      </c>
      <c r="L241" s="13">
        <v>1</v>
      </c>
      <c r="M241" s="24">
        <v>1</v>
      </c>
    </row>
    <row r="242" spans="1:13" x14ac:dyDescent="0.25">
      <c r="A242" s="71"/>
      <c r="B242" s="74"/>
      <c r="C242" s="74"/>
      <c r="D242" s="85"/>
      <c r="E242" s="85"/>
      <c r="F242" s="108"/>
      <c r="G242" s="108"/>
      <c r="H242" s="108"/>
      <c r="I242" s="8" t="s">
        <v>469</v>
      </c>
      <c r="J242" s="9" t="s">
        <v>27</v>
      </c>
      <c r="K242" s="9">
        <v>100</v>
      </c>
      <c r="L242" s="9"/>
      <c r="M242" s="23"/>
    </row>
    <row r="243" spans="1:13" ht="30" x14ac:dyDescent="0.25">
      <c r="A243" s="71"/>
      <c r="B243" s="74"/>
      <c r="C243" s="74"/>
      <c r="D243" s="85"/>
      <c r="E243" s="85"/>
      <c r="F243" s="108"/>
      <c r="G243" s="108"/>
      <c r="H243" s="108"/>
      <c r="I243" s="8" t="s">
        <v>470</v>
      </c>
      <c r="J243" s="9" t="s">
        <v>22</v>
      </c>
      <c r="K243" s="9">
        <v>1</v>
      </c>
      <c r="L243" s="9">
        <v>1</v>
      </c>
      <c r="M243" s="23">
        <v>1</v>
      </c>
    </row>
    <row r="244" spans="1:13" ht="45" x14ac:dyDescent="0.25">
      <c r="A244" s="71"/>
      <c r="B244" s="74"/>
      <c r="C244" s="74"/>
      <c r="D244" s="85"/>
      <c r="E244" s="85"/>
      <c r="F244" s="108"/>
      <c r="G244" s="108"/>
      <c r="H244" s="108"/>
      <c r="I244" s="8" t="s">
        <v>471</v>
      </c>
      <c r="J244" s="9" t="s">
        <v>22</v>
      </c>
      <c r="K244" s="9">
        <v>1</v>
      </c>
      <c r="L244" s="9">
        <v>1</v>
      </c>
      <c r="M244" s="23">
        <v>1</v>
      </c>
    </row>
    <row r="245" spans="1:13" ht="30.75" thickBot="1" x14ac:dyDescent="0.3">
      <c r="A245" s="72"/>
      <c r="B245" s="75"/>
      <c r="C245" s="75"/>
      <c r="D245" s="86"/>
      <c r="E245" s="86"/>
      <c r="F245" s="104"/>
      <c r="G245" s="104"/>
      <c r="H245" s="104"/>
      <c r="I245" s="8" t="s">
        <v>472</v>
      </c>
      <c r="J245" s="9" t="s">
        <v>22</v>
      </c>
      <c r="K245" s="9">
        <v>1</v>
      </c>
      <c r="L245" s="9">
        <v>1</v>
      </c>
      <c r="M245" s="23">
        <v>0</v>
      </c>
    </row>
    <row r="246" spans="1:13" ht="30" x14ac:dyDescent="0.25">
      <c r="A246" s="70" t="s">
        <v>473</v>
      </c>
      <c r="B246" s="73" t="s">
        <v>474</v>
      </c>
      <c r="C246" s="73" t="s">
        <v>475</v>
      </c>
      <c r="D246" s="84" t="s">
        <v>42</v>
      </c>
      <c r="E246" s="84"/>
      <c r="F246" s="103">
        <f>SUM(F247:F248)+1712</f>
        <v>1712</v>
      </c>
      <c r="G246" s="103">
        <f>SUM(G247:G248)+680</f>
        <v>680</v>
      </c>
      <c r="H246" s="103">
        <f>SUM(H247:H248)+630</f>
        <v>630</v>
      </c>
      <c r="I246" s="11" t="s">
        <v>476</v>
      </c>
      <c r="J246" s="13" t="s">
        <v>22</v>
      </c>
      <c r="K246" s="13">
        <v>3</v>
      </c>
      <c r="L246" s="13">
        <v>3</v>
      </c>
      <c r="M246" s="24">
        <v>3</v>
      </c>
    </row>
    <row r="247" spans="1:13" ht="30" x14ac:dyDescent="0.25">
      <c r="A247" s="71"/>
      <c r="B247" s="74"/>
      <c r="C247" s="74"/>
      <c r="D247" s="85"/>
      <c r="E247" s="85"/>
      <c r="F247" s="108"/>
      <c r="G247" s="108"/>
      <c r="H247" s="108"/>
      <c r="I247" s="8" t="s">
        <v>477</v>
      </c>
      <c r="J247" s="9" t="s">
        <v>22</v>
      </c>
      <c r="K247" s="9">
        <v>9</v>
      </c>
      <c r="L247" s="9">
        <v>4</v>
      </c>
      <c r="M247" s="23">
        <v>6</v>
      </c>
    </row>
    <row r="248" spans="1:13" ht="30.75" thickBot="1" x14ac:dyDescent="0.3">
      <c r="A248" s="72"/>
      <c r="B248" s="75"/>
      <c r="C248" s="75"/>
      <c r="D248" s="86"/>
      <c r="E248" s="86"/>
      <c r="F248" s="104"/>
      <c r="G248" s="104"/>
      <c r="H248" s="104"/>
      <c r="I248" s="8" t="s">
        <v>478</v>
      </c>
      <c r="J248" s="9" t="s">
        <v>22</v>
      </c>
      <c r="K248" s="9">
        <v>8</v>
      </c>
      <c r="L248" s="9">
        <v>8</v>
      </c>
      <c r="M248" s="23">
        <v>8</v>
      </c>
    </row>
    <row r="249" spans="1:13" ht="32.25" customHeight="1" x14ac:dyDescent="0.25">
      <c r="A249" s="70" t="s">
        <v>479</v>
      </c>
      <c r="B249" s="73" t="s">
        <v>480</v>
      </c>
      <c r="C249" s="73" t="s">
        <v>427</v>
      </c>
      <c r="D249" s="84" t="s">
        <v>42</v>
      </c>
      <c r="E249" s="84"/>
      <c r="F249" s="103">
        <f>SUM(F250:F250)+25</f>
        <v>25</v>
      </c>
      <c r="G249" s="103">
        <f>SUM(G250:G250)+20</f>
        <v>20</v>
      </c>
      <c r="H249" s="103">
        <f>SUM(H250:H250)+20</f>
        <v>20</v>
      </c>
      <c r="I249" s="11" t="s">
        <v>481</v>
      </c>
      <c r="J249" s="13" t="s">
        <v>22</v>
      </c>
      <c r="K249" s="13">
        <v>1</v>
      </c>
      <c r="L249" s="13">
        <v>1</v>
      </c>
      <c r="M249" s="24">
        <v>1</v>
      </c>
    </row>
    <row r="250" spans="1:13" ht="30.75" thickBot="1" x14ac:dyDescent="0.3">
      <c r="A250" s="72"/>
      <c r="B250" s="75"/>
      <c r="C250" s="75"/>
      <c r="D250" s="86"/>
      <c r="E250" s="86"/>
      <c r="F250" s="104"/>
      <c r="G250" s="104"/>
      <c r="H250" s="104"/>
      <c r="I250" s="8" t="s">
        <v>482</v>
      </c>
      <c r="J250" s="9" t="s">
        <v>22</v>
      </c>
      <c r="K250" s="9">
        <v>1</v>
      </c>
      <c r="L250" s="9">
        <v>1</v>
      </c>
      <c r="M250" s="23">
        <v>1</v>
      </c>
    </row>
    <row r="251" spans="1:13" ht="60" x14ac:dyDescent="0.25">
      <c r="A251" s="70" t="s">
        <v>483</v>
      </c>
      <c r="B251" s="73" t="s">
        <v>484</v>
      </c>
      <c r="C251" s="73" t="s">
        <v>427</v>
      </c>
      <c r="D251" s="84" t="s">
        <v>42</v>
      </c>
      <c r="E251" s="84"/>
      <c r="F251" s="103">
        <f>SUM(F252:F253)+30</f>
        <v>30</v>
      </c>
      <c r="G251" s="103">
        <f>SUM(G252:G253)+35</f>
        <v>35</v>
      </c>
      <c r="H251" s="103">
        <f>SUM(H252:H253)+30</f>
        <v>30</v>
      </c>
      <c r="I251" s="11" t="s">
        <v>485</v>
      </c>
      <c r="J251" s="13" t="s">
        <v>22</v>
      </c>
      <c r="K251" s="13">
        <v>70</v>
      </c>
      <c r="L251" s="13">
        <v>85</v>
      </c>
      <c r="M251" s="24">
        <v>100</v>
      </c>
    </row>
    <row r="252" spans="1:13" ht="60" x14ac:dyDescent="0.25">
      <c r="A252" s="71"/>
      <c r="B252" s="74"/>
      <c r="C252" s="74"/>
      <c r="D252" s="85"/>
      <c r="E252" s="85"/>
      <c r="F252" s="108"/>
      <c r="G252" s="108"/>
      <c r="H252" s="108"/>
      <c r="I252" s="8" t="s">
        <v>486</v>
      </c>
      <c r="J252" s="9" t="s">
        <v>375</v>
      </c>
      <c r="K252" s="9"/>
      <c r="L252" s="9">
        <v>1</v>
      </c>
      <c r="M252" s="23">
        <v>2</v>
      </c>
    </row>
    <row r="253" spans="1:13" ht="30.75" thickBot="1" x14ac:dyDescent="0.3">
      <c r="A253" s="72"/>
      <c r="B253" s="75"/>
      <c r="C253" s="75"/>
      <c r="D253" s="86"/>
      <c r="E253" s="86"/>
      <c r="F253" s="104"/>
      <c r="G253" s="104"/>
      <c r="H253" s="104"/>
      <c r="I253" s="8" t="s">
        <v>487</v>
      </c>
      <c r="J253" s="9" t="s">
        <v>375</v>
      </c>
      <c r="K253" s="9"/>
      <c r="L253" s="9">
        <v>1</v>
      </c>
      <c r="M253" s="23">
        <v>1</v>
      </c>
    </row>
    <row r="254" spans="1:13" ht="45.75" thickBot="1" x14ac:dyDescent="0.3">
      <c r="A254" s="10" t="s">
        <v>488</v>
      </c>
      <c r="B254" s="11" t="s">
        <v>489</v>
      </c>
      <c r="C254" s="12" t="s">
        <v>317</v>
      </c>
      <c r="D254" s="11" t="s">
        <v>42</v>
      </c>
      <c r="E254" s="11"/>
      <c r="F254" s="56">
        <v>13</v>
      </c>
      <c r="G254" s="56">
        <v>13</v>
      </c>
      <c r="H254" s="56">
        <v>13</v>
      </c>
      <c r="I254" s="11" t="s">
        <v>490</v>
      </c>
      <c r="J254" s="13" t="s">
        <v>22</v>
      </c>
      <c r="K254" s="13">
        <v>2</v>
      </c>
      <c r="L254" s="13">
        <v>2</v>
      </c>
      <c r="M254" s="24">
        <v>2</v>
      </c>
    </row>
    <row r="255" spans="1:13" ht="45" x14ac:dyDescent="0.25">
      <c r="A255" s="10" t="s">
        <v>491</v>
      </c>
      <c r="B255" s="11" t="s">
        <v>492</v>
      </c>
      <c r="C255" s="12" t="s">
        <v>317</v>
      </c>
      <c r="D255" s="11" t="s">
        <v>42</v>
      </c>
      <c r="E255" s="11"/>
      <c r="F255" s="56">
        <v>15</v>
      </c>
      <c r="G255" s="56">
        <v>15</v>
      </c>
      <c r="H255" s="56">
        <v>10</v>
      </c>
      <c r="I255" s="11" t="s">
        <v>493</v>
      </c>
      <c r="J255" s="13" t="s">
        <v>22</v>
      </c>
      <c r="K255" s="13">
        <v>4</v>
      </c>
      <c r="L255" s="13">
        <v>4</v>
      </c>
      <c r="M255" s="24">
        <v>4</v>
      </c>
    </row>
    <row r="256" spans="1:13" ht="60.75" thickBot="1" x14ac:dyDescent="0.3">
      <c r="A256" s="10" t="s">
        <v>494</v>
      </c>
      <c r="B256" s="11" t="s">
        <v>495</v>
      </c>
      <c r="C256" s="12" t="s">
        <v>496</v>
      </c>
      <c r="D256" s="11" t="s">
        <v>28</v>
      </c>
      <c r="E256" s="11"/>
      <c r="F256" s="56">
        <v>3.9</v>
      </c>
      <c r="G256" s="56">
        <v>0</v>
      </c>
      <c r="H256" s="56">
        <v>0</v>
      </c>
      <c r="I256" s="11" t="s">
        <v>497</v>
      </c>
      <c r="J256" s="13" t="s">
        <v>116</v>
      </c>
      <c r="K256" s="13">
        <v>7</v>
      </c>
      <c r="L256" s="13"/>
      <c r="M256" s="24"/>
    </row>
    <row r="257" spans="1:13" x14ac:dyDescent="0.25">
      <c r="A257" s="76" t="s">
        <v>498</v>
      </c>
      <c r="B257" s="78" t="s">
        <v>499</v>
      </c>
      <c r="C257" s="79"/>
      <c r="D257" s="79"/>
      <c r="E257" s="80"/>
      <c r="F257" s="121">
        <f>F258+F259+F260+F261+F262+F263+F264+F265+F269+F272+F275+F279+F280+F286+F289+F290+F301</f>
        <v>37046.9</v>
      </c>
      <c r="G257" s="121">
        <f>G258+G259+G260+G261+G262+G263+G264+G265+G269+G272+G275+G279+G280+G286+G289+G290+G301</f>
        <v>52409.5</v>
      </c>
      <c r="H257" s="121">
        <f>H258+H259+H260+H261+H262+H263+H264+H265+H269+H272+H275+H279+H280+H286+H289+H290+H301</f>
        <v>44737.1</v>
      </c>
      <c r="I257" s="64" t="s">
        <v>500</v>
      </c>
      <c r="J257" s="7" t="s">
        <v>27</v>
      </c>
      <c r="K257" s="7">
        <v>29</v>
      </c>
      <c r="L257" s="7">
        <v>27</v>
      </c>
      <c r="M257" s="25">
        <v>25</v>
      </c>
    </row>
    <row r="258" spans="1:13" x14ac:dyDescent="0.25">
      <c r="A258" s="94"/>
      <c r="B258" s="95"/>
      <c r="C258" s="96"/>
      <c r="D258" s="96"/>
      <c r="E258" s="97"/>
      <c r="F258" s="144"/>
      <c r="G258" s="144"/>
      <c r="H258" s="144"/>
      <c r="I258" s="65" t="s">
        <v>501</v>
      </c>
      <c r="J258" s="34" t="s">
        <v>27</v>
      </c>
      <c r="K258" s="34">
        <v>2</v>
      </c>
      <c r="L258" s="34">
        <v>4</v>
      </c>
      <c r="M258" s="35">
        <v>7</v>
      </c>
    </row>
    <row r="259" spans="1:13" ht="21.75" customHeight="1" x14ac:dyDescent="0.25">
      <c r="A259" s="94"/>
      <c r="B259" s="95"/>
      <c r="C259" s="96"/>
      <c r="D259" s="96"/>
      <c r="E259" s="97"/>
      <c r="F259" s="144"/>
      <c r="G259" s="144"/>
      <c r="H259" s="144"/>
      <c r="I259" s="65" t="s">
        <v>502</v>
      </c>
      <c r="J259" s="34" t="s">
        <v>393</v>
      </c>
      <c r="K259" s="34">
        <v>1</v>
      </c>
      <c r="L259" s="34">
        <v>1</v>
      </c>
      <c r="M259" s="35">
        <v>1</v>
      </c>
    </row>
    <row r="260" spans="1:13" x14ac:dyDescent="0.25">
      <c r="A260" s="94"/>
      <c r="B260" s="95"/>
      <c r="C260" s="96"/>
      <c r="D260" s="96"/>
      <c r="E260" s="97"/>
      <c r="F260" s="144"/>
      <c r="G260" s="144"/>
      <c r="H260" s="144"/>
      <c r="I260" s="65" t="s">
        <v>503</v>
      </c>
      <c r="J260" s="34" t="s">
        <v>27</v>
      </c>
      <c r="K260" s="34">
        <v>33</v>
      </c>
      <c r="L260" s="34">
        <v>33</v>
      </c>
      <c r="M260" s="35">
        <v>33</v>
      </c>
    </row>
    <row r="261" spans="1:13" x14ac:dyDescent="0.25">
      <c r="A261" s="94"/>
      <c r="B261" s="95"/>
      <c r="C261" s="96"/>
      <c r="D261" s="96"/>
      <c r="E261" s="97"/>
      <c r="F261" s="144"/>
      <c r="G261" s="144"/>
      <c r="H261" s="144"/>
      <c r="I261" s="65" t="s">
        <v>504</v>
      </c>
      <c r="J261" s="34" t="s">
        <v>27</v>
      </c>
      <c r="K261" s="34">
        <v>33</v>
      </c>
      <c r="L261" s="34">
        <v>33</v>
      </c>
      <c r="M261" s="35">
        <v>33</v>
      </c>
    </row>
    <row r="262" spans="1:13" x14ac:dyDescent="0.25">
      <c r="A262" s="94"/>
      <c r="B262" s="95"/>
      <c r="C262" s="96"/>
      <c r="D262" s="96"/>
      <c r="E262" s="97"/>
      <c r="F262" s="144"/>
      <c r="G262" s="144"/>
      <c r="H262" s="144"/>
      <c r="I262" s="65" t="s">
        <v>505</v>
      </c>
      <c r="J262" s="34" t="s">
        <v>27</v>
      </c>
      <c r="K262" s="34">
        <v>10</v>
      </c>
      <c r="L262" s="34">
        <v>10</v>
      </c>
      <c r="M262" s="35">
        <v>10</v>
      </c>
    </row>
    <row r="263" spans="1:13" x14ac:dyDescent="0.25">
      <c r="A263" s="94"/>
      <c r="B263" s="95"/>
      <c r="C263" s="96"/>
      <c r="D263" s="96"/>
      <c r="E263" s="97"/>
      <c r="F263" s="144"/>
      <c r="G263" s="144"/>
      <c r="H263" s="144"/>
      <c r="I263" s="65" t="s">
        <v>506</v>
      </c>
      <c r="J263" s="34" t="s">
        <v>27</v>
      </c>
      <c r="K263" s="34">
        <v>24</v>
      </c>
      <c r="L263" s="34">
        <v>24</v>
      </c>
      <c r="M263" s="35">
        <v>24</v>
      </c>
    </row>
    <row r="264" spans="1:13" ht="30.75" thickBot="1" x14ac:dyDescent="0.3">
      <c r="A264" s="77"/>
      <c r="B264" s="81"/>
      <c r="C264" s="82"/>
      <c r="D264" s="82"/>
      <c r="E264" s="83"/>
      <c r="F264" s="122"/>
      <c r="G264" s="122"/>
      <c r="H264" s="122"/>
      <c r="I264" s="65" t="s">
        <v>507</v>
      </c>
      <c r="J264" s="34" t="s">
        <v>22</v>
      </c>
      <c r="K264" s="34">
        <v>97</v>
      </c>
      <c r="L264" s="34">
        <v>98</v>
      </c>
      <c r="M264" s="35">
        <v>100</v>
      </c>
    </row>
    <row r="265" spans="1:13" x14ac:dyDescent="0.25">
      <c r="A265" s="70" t="s">
        <v>508</v>
      </c>
      <c r="B265" s="73" t="s">
        <v>509</v>
      </c>
      <c r="C265" s="73" t="s">
        <v>510</v>
      </c>
      <c r="D265" s="11"/>
      <c r="E265" s="67" t="s">
        <v>519</v>
      </c>
      <c r="F265" s="52">
        <f>SUM(F266:F268)</f>
        <v>1140</v>
      </c>
      <c r="G265" s="52">
        <f>SUM(G266:G268)</f>
        <v>1140</v>
      </c>
      <c r="H265" s="52">
        <f>SUM(H266:H268)</f>
        <v>1120</v>
      </c>
      <c r="I265" s="11" t="s">
        <v>511</v>
      </c>
      <c r="J265" s="13" t="s">
        <v>22</v>
      </c>
      <c r="K265" s="13">
        <v>76</v>
      </c>
      <c r="L265" s="13">
        <v>76</v>
      </c>
      <c r="M265" s="24">
        <v>76</v>
      </c>
    </row>
    <row r="266" spans="1:13" x14ac:dyDescent="0.25">
      <c r="A266" s="71"/>
      <c r="B266" s="74"/>
      <c r="C266" s="74"/>
      <c r="D266" s="8" t="s">
        <v>512</v>
      </c>
      <c r="E266" s="8"/>
      <c r="F266" s="44">
        <v>240</v>
      </c>
      <c r="G266" s="44">
        <v>240</v>
      </c>
      <c r="H266" s="44">
        <v>220</v>
      </c>
      <c r="I266" s="8" t="s">
        <v>513</v>
      </c>
      <c r="J266" s="9" t="s">
        <v>379</v>
      </c>
      <c r="K266" s="26">
        <v>35000</v>
      </c>
      <c r="L266" s="26">
        <v>34000</v>
      </c>
      <c r="M266" s="27">
        <v>33000</v>
      </c>
    </row>
    <row r="267" spans="1:13" x14ac:dyDescent="0.25">
      <c r="A267" s="71"/>
      <c r="B267" s="74"/>
      <c r="C267" s="74"/>
      <c r="D267" s="98" t="s">
        <v>42</v>
      </c>
      <c r="E267" s="98"/>
      <c r="F267" s="118">
        <v>900</v>
      </c>
      <c r="G267" s="118">
        <v>900</v>
      </c>
      <c r="H267" s="118">
        <v>900</v>
      </c>
      <c r="I267" s="8" t="s">
        <v>514</v>
      </c>
      <c r="J267" s="9" t="s">
        <v>393</v>
      </c>
      <c r="K267" s="9">
        <v>95</v>
      </c>
      <c r="L267" s="9">
        <v>91</v>
      </c>
      <c r="M267" s="23">
        <v>87</v>
      </c>
    </row>
    <row r="268" spans="1:13" ht="30.75" thickBot="1" x14ac:dyDescent="0.3">
      <c r="A268" s="72"/>
      <c r="B268" s="75"/>
      <c r="C268" s="75"/>
      <c r="D268" s="86"/>
      <c r="E268" s="86"/>
      <c r="F268" s="120"/>
      <c r="G268" s="120"/>
      <c r="H268" s="120"/>
      <c r="I268" s="8" t="s">
        <v>515</v>
      </c>
      <c r="J268" s="9" t="s">
        <v>379</v>
      </c>
      <c r="K268" s="26">
        <v>20000</v>
      </c>
      <c r="L268" s="26">
        <v>20000</v>
      </c>
      <c r="M268" s="27">
        <v>20000</v>
      </c>
    </row>
    <row r="269" spans="1:13" ht="30" customHeight="1" x14ac:dyDescent="0.25">
      <c r="A269" s="70" t="s">
        <v>516</v>
      </c>
      <c r="B269" s="73" t="s">
        <v>517</v>
      </c>
      <c r="C269" s="73" t="s">
        <v>518</v>
      </c>
      <c r="D269" s="11"/>
      <c r="E269" s="11" t="s">
        <v>519</v>
      </c>
      <c r="F269" s="52">
        <f>SUM(F270:F271)</f>
        <v>18000.099999999999</v>
      </c>
      <c r="G269" s="52">
        <f>SUM(G270:G271)</f>
        <v>15500</v>
      </c>
      <c r="H269" s="52">
        <f>SUM(H270:H271)</f>
        <v>15500</v>
      </c>
      <c r="I269" s="84" t="s">
        <v>520</v>
      </c>
      <c r="J269" s="102" t="s">
        <v>27</v>
      </c>
      <c r="K269" s="102">
        <v>100</v>
      </c>
      <c r="L269" s="102">
        <v>100</v>
      </c>
      <c r="M269" s="139">
        <v>100</v>
      </c>
    </row>
    <row r="270" spans="1:13" x14ac:dyDescent="0.25">
      <c r="A270" s="71"/>
      <c r="B270" s="74"/>
      <c r="C270" s="74"/>
      <c r="D270" s="8" t="s">
        <v>512</v>
      </c>
      <c r="E270" s="8"/>
      <c r="F270" s="44">
        <v>6800</v>
      </c>
      <c r="G270" s="44">
        <v>6800</v>
      </c>
      <c r="H270" s="44">
        <v>6800</v>
      </c>
      <c r="I270" s="85"/>
      <c r="J270" s="100"/>
      <c r="K270" s="100"/>
      <c r="L270" s="100"/>
      <c r="M270" s="140"/>
    </row>
    <row r="271" spans="1:13" ht="15.75" thickBot="1" x14ac:dyDescent="0.3">
      <c r="A271" s="72"/>
      <c r="B271" s="75"/>
      <c r="C271" s="75"/>
      <c r="D271" s="8" t="s">
        <v>42</v>
      </c>
      <c r="E271" s="8"/>
      <c r="F271" s="44">
        <v>11200.1</v>
      </c>
      <c r="G271" s="44">
        <v>8700</v>
      </c>
      <c r="H271" s="44">
        <v>8700</v>
      </c>
      <c r="I271" s="86"/>
      <c r="J271" s="101"/>
      <c r="K271" s="101"/>
      <c r="L271" s="101"/>
      <c r="M271" s="124"/>
    </row>
    <row r="272" spans="1:13" x14ac:dyDescent="0.25">
      <c r="A272" s="70" t="s">
        <v>521</v>
      </c>
      <c r="B272" s="73" t="s">
        <v>522</v>
      </c>
      <c r="C272" s="73" t="s">
        <v>523</v>
      </c>
      <c r="D272" s="11"/>
      <c r="E272" s="11" t="s">
        <v>519</v>
      </c>
      <c r="F272" s="52">
        <f>SUM(F273:F274)</f>
        <v>297</v>
      </c>
      <c r="G272" s="52">
        <f>SUM(G273:G274)</f>
        <v>690</v>
      </c>
      <c r="H272" s="52">
        <f>SUM(H273:H274)</f>
        <v>245</v>
      </c>
      <c r="I272" s="84" t="s">
        <v>524</v>
      </c>
      <c r="J272" s="102" t="s">
        <v>22</v>
      </c>
      <c r="K272" s="102">
        <v>1</v>
      </c>
      <c r="L272" s="102">
        <v>1</v>
      </c>
      <c r="M272" s="139">
        <v>1</v>
      </c>
    </row>
    <row r="273" spans="1:13" x14ac:dyDescent="0.25">
      <c r="A273" s="71"/>
      <c r="B273" s="74"/>
      <c r="C273" s="74"/>
      <c r="D273" s="8" t="s">
        <v>42</v>
      </c>
      <c r="E273" s="8"/>
      <c r="F273" s="44">
        <v>150</v>
      </c>
      <c r="G273" s="44">
        <v>250</v>
      </c>
      <c r="H273" s="44">
        <v>100</v>
      </c>
      <c r="I273" s="85"/>
      <c r="J273" s="100"/>
      <c r="K273" s="100"/>
      <c r="L273" s="100"/>
      <c r="M273" s="140"/>
    </row>
    <row r="274" spans="1:13" ht="15.75" thickBot="1" x14ac:dyDescent="0.3">
      <c r="A274" s="72"/>
      <c r="B274" s="75"/>
      <c r="C274" s="75"/>
      <c r="D274" s="8" t="s">
        <v>30</v>
      </c>
      <c r="E274" s="8"/>
      <c r="F274" s="44">
        <v>147</v>
      </c>
      <c r="G274" s="44">
        <v>440</v>
      </c>
      <c r="H274" s="44">
        <v>145</v>
      </c>
      <c r="I274" s="86"/>
      <c r="J274" s="101"/>
      <c r="K274" s="101"/>
      <c r="L274" s="101"/>
      <c r="M274" s="124"/>
    </row>
    <row r="275" spans="1:13" x14ac:dyDescent="0.25">
      <c r="A275" s="70" t="s">
        <v>525</v>
      </c>
      <c r="B275" s="73" t="s">
        <v>526</v>
      </c>
      <c r="C275" s="73" t="s">
        <v>523</v>
      </c>
      <c r="D275" s="11"/>
      <c r="E275" s="11" t="s">
        <v>519</v>
      </c>
      <c r="F275" s="52">
        <f>SUM(F276:F278)</f>
        <v>4450</v>
      </c>
      <c r="G275" s="52">
        <f>SUM(G276:G278)</f>
        <v>6000.1</v>
      </c>
      <c r="H275" s="52">
        <f>SUM(H276:H278)</f>
        <v>7000.1</v>
      </c>
      <c r="I275" s="11" t="s">
        <v>527</v>
      </c>
      <c r="J275" s="13" t="s">
        <v>393</v>
      </c>
      <c r="K275" s="13">
        <v>6</v>
      </c>
      <c r="L275" s="13">
        <v>7</v>
      </c>
      <c r="M275" s="24">
        <v>8</v>
      </c>
    </row>
    <row r="276" spans="1:13" x14ac:dyDescent="0.25">
      <c r="A276" s="71"/>
      <c r="B276" s="74"/>
      <c r="C276" s="74"/>
      <c r="D276" s="8" t="s">
        <v>30</v>
      </c>
      <c r="E276" s="8"/>
      <c r="F276" s="44">
        <v>3792.5</v>
      </c>
      <c r="G276" s="44">
        <v>5078.8</v>
      </c>
      <c r="H276" s="44">
        <v>5828.8</v>
      </c>
      <c r="I276" s="8" t="s">
        <v>528</v>
      </c>
      <c r="J276" s="9" t="s">
        <v>393</v>
      </c>
      <c r="K276" s="9">
        <v>5.8</v>
      </c>
      <c r="L276" s="9">
        <v>7</v>
      </c>
      <c r="M276" s="23">
        <v>8</v>
      </c>
    </row>
    <row r="277" spans="1:13" x14ac:dyDescent="0.25">
      <c r="A277" s="71"/>
      <c r="B277" s="74"/>
      <c r="C277" s="74"/>
      <c r="D277" s="8" t="s">
        <v>42</v>
      </c>
      <c r="E277" s="8"/>
      <c r="F277" s="44">
        <v>657.5</v>
      </c>
      <c r="G277" s="44">
        <v>921.3</v>
      </c>
      <c r="H277" s="44">
        <v>1171.3</v>
      </c>
      <c r="I277" s="8" t="s">
        <v>529</v>
      </c>
      <c r="J277" s="9" t="s">
        <v>27</v>
      </c>
      <c r="K277" s="9">
        <v>2</v>
      </c>
      <c r="L277" s="9">
        <v>45</v>
      </c>
      <c r="M277" s="23">
        <v>100</v>
      </c>
    </row>
    <row r="278" spans="1:13" ht="15.75" thickBot="1" x14ac:dyDescent="0.3">
      <c r="A278" s="72"/>
      <c r="B278" s="75"/>
      <c r="C278" s="75"/>
      <c r="D278" s="8"/>
      <c r="E278" s="8"/>
      <c r="F278" s="44">
        <v>0</v>
      </c>
      <c r="G278" s="44">
        <v>0</v>
      </c>
      <c r="H278" s="44">
        <v>0</v>
      </c>
      <c r="I278" s="8" t="s">
        <v>530</v>
      </c>
      <c r="J278" s="9" t="s">
        <v>22</v>
      </c>
      <c r="K278" s="9"/>
      <c r="L278" s="9"/>
      <c r="M278" s="23">
        <v>3</v>
      </c>
    </row>
    <row r="279" spans="1:13" ht="30.75" thickBot="1" x14ac:dyDescent="0.3">
      <c r="A279" s="10" t="s">
        <v>531</v>
      </c>
      <c r="B279" s="11" t="s">
        <v>532</v>
      </c>
      <c r="C279" s="12" t="s">
        <v>533</v>
      </c>
      <c r="D279" s="11" t="s">
        <v>42</v>
      </c>
      <c r="E279" s="11"/>
      <c r="F279" s="56">
        <v>6940.4</v>
      </c>
      <c r="G279" s="56">
        <v>7122.7</v>
      </c>
      <c r="H279" s="56">
        <v>7184.4</v>
      </c>
      <c r="I279" s="11" t="s">
        <v>534</v>
      </c>
      <c r="J279" s="13" t="s">
        <v>27</v>
      </c>
      <c r="K279" s="13">
        <v>100</v>
      </c>
      <c r="L279" s="13">
        <v>100</v>
      </c>
      <c r="M279" s="24">
        <v>100</v>
      </c>
    </row>
    <row r="280" spans="1:13" x14ac:dyDescent="0.25">
      <c r="A280" s="70" t="s">
        <v>535</v>
      </c>
      <c r="B280" s="73" t="s">
        <v>536</v>
      </c>
      <c r="C280" s="73" t="s">
        <v>537</v>
      </c>
      <c r="D280" s="11"/>
      <c r="E280" s="11"/>
      <c r="F280" s="52">
        <f>SUM(F281:F285)</f>
        <v>313.39999999999998</v>
      </c>
      <c r="G280" s="52">
        <f>SUM(G281:G285)</f>
        <v>3750.3</v>
      </c>
      <c r="H280" s="52">
        <f>SUM(H281:H285)</f>
        <v>0</v>
      </c>
      <c r="I280" s="11" t="s">
        <v>538</v>
      </c>
      <c r="J280" s="13" t="s">
        <v>22</v>
      </c>
      <c r="K280" s="13">
        <v>10</v>
      </c>
      <c r="L280" s="13">
        <v>1</v>
      </c>
      <c r="M280" s="24">
        <v>1</v>
      </c>
    </row>
    <row r="281" spans="1:13" x14ac:dyDescent="0.25">
      <c r="A281" s="71"/>
      <c r="B281" s="74"/>
      <c r="C281" s="74"/>
      <c r="D281" s="8" t="s">
        <v>30</v>
      </c>
      <c r="E281" s="8"/>
      <c r="F281" s="44">
        <v>313.39999999999998</v>
      </c>
      <c r="G281" s="44">
        <v>3108.1</v>
      </c>
      <c r="H281" s="44">
        <v>0</v>
      </c>
      <c r="I281" s="8" t="s">
        <v>539</v>
      </c>
      <c r="J281" s="9" t="s">
        <v>22</v>
      </c>
      <c r="K281" s="9">
        <v>30</v>
      </c>
      <c r="L281" s="9">
        <v>20</v>
      </c>
      <c r="M281" s="23">
        <v>20</v>
      </c>
    </row>
    <row r="282" spans="1:13" ht="17.25" customHeight="1" x14ac:dyDescent="0.25">
      <c r="A282" s="71"/>
      <c r="B282" s="74"/>
      <c r="C282" s="74"/>
      <c r="D282" s="98" t="s">
        <v>28</v>
      </c>
      <c r="E282" s="98"/>
      <c r="F282" s="118">
        <v>0</v>
      </c>
      <c r="G282" s="118">
        <v>642.20000000000005</v>
      </c>
      <c r="H282" s="118">
        <v>0</v>
      </c>
      <c r="I282" s="8" t="s">
        <v>540</v>
      </c>
      <c r="J282" s="9" t="s">
        <v>22</v>
      </c>
      <c r="K282" s="9">
        <v>0</v>
      </c>
      <c r="L282" s="9">
        <v>0</v>
      </c>
      <c r="M282" s="23">
        <v>5</v>
      </c>
    </row>
    <row r="283" spans="1:13" hidden="1" x14ac:dyDescent="0.25">
      <c r="A283" s="71"/>
      <c r="B283" s="74"/>
      <c r="C283" s="74"/>
      <c r="D283" s="85"/>
      <c r="E283" s="85"/>
      <c r="F283" s="119"/>
      <c r="G283" s="119"/>
      <c r="H283" s="119"/>
      <c r="I283" s="8" t="s">
        <v>541</v>
      </c>
      <c r="J283" s="9" t="s">
        <v>22</v>
      </c>
      <c r="K283" s="9">
        <v>0</v>
      </c>
      <c r="L283" s="9">
        <v>0</v>
      </c>
      <c r="M283" s="23">
        <v>0</v>
      </c>
    </row>
    <row r="284" spans="1:13" x14ac:dyDescent="0.25">
      <c r="A284" s="71"/>
      <c r="B284" s="74"/>
      <c r="C284" s="74"/>
      <c r="D284" s="85"/>
      <c r="E284" s="85"/>
      <c r="F284" s="119"/>
      <c r="G284" s="119"/>
      <c r="H284" s="119"/>
      <c r="I284" s="8" t="s">
        <v>542</v>
      </c>
      <c r="J284" s="9" t="s">
        <v>22</v>
      </c>
      <c r="K284" s="9">
        <v>1</v>
      </c>
      <c r="L284" s="9"/>
      <c r="M284" s="23"/>
    </row>
    <row r="285" spans="1:13" ht="15.75" thickBot="1" x14ac:dyDescent="0.3">
      <c r="A285" s="72"/>
      <c r="B285" s="75"/>
      <c r="C285" s="75"/>
      <c r="D285" s="86"/>
      <c r="E285" s="86"/>
      <c r="F285" s="120"/>
      <c r="G285" s="120"/>
      <c r="H285" s="120"/>
      <c r="I285" s="8" t="s">
        <v>543</v>
      </c>
      <c r="J285" s="9" t="s">
        <v>22</v>
      </c>
      <c r="K285" s="9"/>
      <c r="L285" s="9">
        <v>1</v>
      </c>
      <c r="M285" s="23"/>
    </row>
    <row r="286" spans="1:13" x14ac:dyDescent="0.25">
      <c r="A286" s="70" t="s">
        <v>544</v>
      </c>
      <c r="B286" s="73" t="s">
        <v>545</v>
      </c>
      <c r="C286" s="73" t="s">
        <v>183</v>
      </c>
      <c r="D286" s="11"/>
      <c r="E286" s="11" t="s">
        <v>519</v>
      </c>
      <c r="F286" s="52">
        <f>SUM(F287:F288)</f>
        <v>3000</v>
      </c>
      <c r="G286" s="52">
        <f>SUM(G287:G288)</f>
        <v>3000</v>
      </c>
      <c r="H286" s="52">
        <f>SUM(H287:H288)</f>
        <v>3000</v>
      </c>
      <c r="I286" s="11" t="s">
        <v>546</v>
      </c>
      <c r="J286" s="13" t="s">
        <v>22</v>
      </c>
      <c r="K286" s="13">
        <v>13</v>
      </c>
      <c r="L286" s="13">
        <v>8</v>
      </c>
      <c r="M286" s="24">
        <v>8</v>
      </c>
    </row>
    <row r="287" spans="1:13" x14ac:dyDescent="0.25">
      <c r="A287" s="71"/>
      <c r="B287" s="74"/>
      <c r="C287" s="74"/>
      <c r="D287" s="8" t="s">
        <v>42</v>
      </c>
      <c r="E287" s="8"/>
      <c r="F287" s="44">
        <v>1500</v>
      </c>
      <c r="G287" s="44">
        <v>1500</v>
      </c>
      <c r="H287" s="44">
        <v>1500</v>
      </c>
      <c r="I287" s="8" t="s">
        <v>547</v>
      </c>
      <c r="J287" s="9" t="s">
        <v>393</v>
      </c>
      <c r="K287" s="9">
        <v>4</v>
      </c>
      <c r="L287" s="9">
        <v>3</v>
      </c>
      <c r="M287" s="23">
        <v>3</v>
      </c>
    </row>
    <row r="288" spans="1:13" ht="15.75" thickBot="1" x14ac:dyDescent="0.3">
      <c r="A288" s="72"/>
      <c r="B288" s="75"/>
      <c r="C288" s="75"/>
      <c r="D288" s="8" t="s">
        <v>512</v>
      </c>
      <c r="E288" s="8"/>
      <c r="F288" s="44">
        <v>1500</v>
      </c>
      <c r="G288" s="44">
        <v>1500</v>
      </c>
      <c r="H288" s="44">
        <v>1500</v>
      </c>
      <c r="I288" s="8" t="s">
        <v>548</v>
      </c>
      <c r="J288" s="9" t="s">
        <v>393</v>
      </c>
      <c r="K288" s="9">
        <v>0</v>
      </c>
      <c r="L288" s="9">
        <v>0.5</v>
      </c>
      <c r="M288" s="23">
        <v>0.5</v>
      </c>
    </row>
    <row r="289" spans="1:13" ht="30.75" thickBot="1" x14ac:dyDescent="0.3">
      <c r="A289" s="10" t="s">
        <v>549</v>
      </c>
      <c r="B289" s="11" t="s">
        <v>550</v>
      </c>
      <c r="C289" s="12" t="s">
        <v>183</v>
      </c>
      <c r="D289" s="11" t="s">
        <v>42</v>
      </c>
      <c r="E289" s="11" t="s">
        <v>519</v>
      </c>
      <c r="F289" s="56">
        <v>0</v>
      </c>
      <c r="G289" s="56">
        <v>12275.4</v>
      </c>
      <c r="H289" s="56">
        <v>7724.6</v>
      </c>
      <c r="I289" s="11" t="s">
        <v>551</v>
      </c>
      <c r="J289" s="13" t="s">
        <v>27</v>
      </c>
      <c r="K289" s="13">
        <v>0</v>
      </c>
      <c r="L289" s="13">
        <v>70</v>
      </c>
      <c r="M289" s="24">
        <v>30</v>
      </c>
    </row>
    <row r="290" spans="1:13" x14ac:dyDescent="0.25">
      <c r="A290" s="70" t="s">
        <v>552</v>
      </c>
      <c r="B290" s="73" t="s">
        <v>553</v>
      </c>
      <c r="C290" s="73" t="s">
        <v>554</v>
      </c>
      <c r="D290" s="11"/>
      <c r="E290" s="11"/>
      <c r="F290" s="52">
        <f>SUM(F291:F300)</f>
        <v>2906</v>
      </c>
      <c r="G290" s="52">
        <f>SUM(G291:G300)</f>
        <v>2931</v>
      </c>
      <c r="H290" s="52">
        <f>SUM(H291:H300)</f>
        <v>2963</v>
      </c>
      <c r="I290" s="11" t="s">
        <v>555</v>
      </c>
      <c r="J290" s="13" t="s">
        <v>22</v>
      </c>
      <c r="K290" s="13">
        <v>121</v>
      </c>
      <c r="L290" s="13">
        <v>122</v>
      </c>
      <c r="M290" s="24">
        <v>123</v>
      </c>
    </row>
    <row r="291" spans="1:13" x14ac:dyDescent="0.25">
      <c r="A291" s="71"/>
      <c r="B291" s="74"/>
      <c r="C291" s="74"/>
      <c r="D291" s="8" t="s">
        <v>42</v>
      </c>
      <c r="E291" s="8"/>
      <c r="F291" s="44">
        <v>2783</v>
      </c>
      <c r="G291" s="44">
        <v>2798</v>
      </c>
      <c r="H291" s="44">
        <v>2819</v>
      </c>
      <c r="I291" s="8" t="s">
        <v>556</v>
      </c>
      <c r="J291" s="9" t="s">
        <v>22</v>
      </c>
      <c r="K291" s="9">
        <v>12</v>
      </c>
      <c r="L291" s="9">
        <v>14</v>
      </c>
      <c r="M291" s="23">
        <v>16</v>
      </c>
    </row>
    <row r="292" spans="1:13" ht="30" x14ac:dyDescent="0.25">
      <c r="A292" s="71"/>
      <c r="B292" s="74"/>
      <c r="C292" s="74"/>
      <c r="D292" s="98" t="s">
        <v>512</v>
      </c>
      <c r="E292" s="98"/>
      <c r="F292" s="118">
        <v>123</v>
      </c>
      <c r="G292" s="118">
        <v>133</v>
      </c>
      <c r="H292" s="118">
        <v>144</v>
      </c>
      <c r="I292" s="8" t="s">
        <v>557</v>
      </c>
      <c r="J292" s="9" t="s">
        <v>22</v>
      </c>
      <c r="K292" s="9">
        <v>0</v>
      </c>
      <c r="L292" s="9">
        <v>0</v>
      </c>
      <c r="M292" s="23">
        <v>0</v>
      </c>
    </row>
    <row r="293" spans="1:13" x14ac:dyDescent="0.25">
      <c r="A293" s="71"/>
      <c r="B293" s="74"/>
      <c r="C293" s="74"/>
      <c r="D293" s="85"/>
      <c r="E293" s="85"/>
      <c r="F293" s="119"/>
      <c r="G293" s="119"/>
      <c r="H293" s="119"/>
      <c r="I293" s="8" t="s">
        <v>558</v>
      </c>
      <c r="J293" s="9" t="s">
        <v>22</v>
      </c>
      <c r="K293" s="9">
        <v>7</v>
      </c>
      <c r="L293" s="9">
        <v>8</v>
      </c>
      <c r="M293" s="23">
        <v>7</v>
      </c>
    </row>
    <row r="294" spans="1:13" x14ac:dyDescent="0.25">
      <c r="A294" s="71"/>
      <c r="B294" s="74"/>
      <c r="C294" s="74"/>
      <c r="D294" s="85"/>
      <c r="E294" s="85"/>
      <c r="F294" s="119"/>
      <c r="G294" s="119"/>
      <c r="H294" s="119"/>
      <c r="I294" s="8" t="s">
        <v>559</v>
      </c>
      <c r="J294" s="9" t="s">
        <v>22</v>
      </c>
      <c r="K294" s="26">
        <v>1000</v>
      </c>
      <c r="L294" s="26">
        <v>1000</v>
      </c>
      <c r="M294" s="27">
        <v>1000</v>
      </c>
    </row>
    <row r="295" spans="1:13" ht="18.75" customHeight="1" x14ac:dyDescent="0.25">
      <c r="A295" s="71"/>
      <c r="B295" s="74"/>
      <c r="C295" s="74"/>
      <c r="D295" s="85"/>
      <c r="E295" s="85"/>
      <c r="F295" s="119"/>
      <c r="G295" s="119"/>
      <c r="H295" s="119"/>
      <c r="I295" s="8" t="s">
        <v>560</v>
      </c>
      <c r="J295" s="9" t="s">
        <v>22</v>
      </c>
      <c r="K295" s="26">
        <v>15770</v>
      </c>
      <c r="L295" s="26">
        <v>15890</v>
      </c>
      <c r="M295" s="27">
        <v>16000</v>
      </c>
    </row>
    <row r="296" spans="1:13" x14ac:dyDescent="0.25">
      <c r="A296" s="71"/>
      <c r="B296" s="74"/>
      <c r="C296" s="74"/>
      <c r="D296" s="85"/>
      <c r="E296" s="85"/>
      <c r="F296" s="119"/>
      <c r="G296" s="119"/>
      <c r="H296" s="119"/>
      <c r="I296" s="8" t="s">
        <v>561</v>
      </c>
      <c r="J296" s="9" t="s">
        <v>22</v>
      </c>
      <c r="K296" s="9">
        <v>50</v>
      </c>
      <c r="L296" s="9">
        <v>51</v>
      </c>
      <c r="M296" s="23">
        <v>51</v>
      </c>
    </row>
    <row r="297" spans="1:13" x14ac:dyDescent="0.25">
      <c r="A297" s="71"/>
      <c r="B297" s="74"/>
      <c r="C297" s="74"/>
      <c r="D297" s="85"/>
      <c r="E297" s="85"/>
      <c r="F297" s="119"/>
      <c r="G297" s="119"/>
      <c r="H297" s="119"/>
      <c r="I297" s="8" t="s">
        <v>562</v>
      </c>
      <c r="J297" s="9" t="s">
        <v>22</v>
      </c>
      <c r="K297" s="26">
        <v>12350</v>
      </c>
      <c r="L297" s="26">
        <v>12900</v>
      </c>
      <c r="M297" s="27">
        <v>13700</v>
      </c>
    </row>
    <row r="298" spans="1:13" x14ac:dyDescent="0.25">
      <c r="A298" s="71"/>
      <c r="B298" s="74"/>
      <c r="C298" s="74"/>
      <c r="D298" s="85"/>
      <c r="E298" s="85"/>
      <c r="F298" s="119"/>
      <c r="G298" s="119"/>
      <c r="H298" s="119"/>
      <c r="I298" s="8" t="s">
        <v>563</v>
      </c>
      <c r="J298" s="9" t="s">
        <v>564</v>
      </c>
      <c r="K298" s="26">
        <v>2500000</v>
      </c>
      <c r="L298" s="26">
        <v>2600000</v>
      </c>
      <c r="M298" s="27">
        <v>2600000</v>
      </c>
    </row>
    <row r="299" spans="1:13" ht="45" x14ac:dyDescent="0.25">
      <c r="A299" s="71"/>
      <c r="B299" s="74"/>
      <c r="C299" s="74"/>
      <c r="D299" s="85"/>
      <c r="E299" s="85"/>
      <c r="F299" s="119"/>
      <c r="G299" s="119"/>
      <c r="H299" s="119"/>
      <c r="I299" s="8" t="s">
        <v>565</v>
      </c>
      <c r="J299" s="9" t="s">
        <v>22</v>
      </c>
      <c r="K299" s="9">
        <v>11</v>
      </c>
      <c r="L299" s="9">
        <v>11</v>
      </c>
      <c r="M299" s="23">
        <v>12</v>
      </c>
    </row>
    <row r="300" spans="1:13" ht="30.75" thickBot="1" x14ac:dyDescent="0.3">
      <c r="A300" s="72"/>
      <c r="B300" s="75"/>
      <c r="C300" s="75"/>
      <c r="D300" s="86"/>
      <c r="E300" s="86"/>
      <c r="F300" s="120"/>
      <c r="G300" s="120"/>
      <c r="H300" s="120"/>
      <c r="I300" s="8" t="s">
        <v>566</v>
      </c>
      <c r="J300" s="9" t="s">
        <v>22</v>
      </c>
      <c r="K300" s="9">
        <v>0</v>
      </c>
      <c r="L300" s="9">
        <v>1</v>
      </c>
      <c r="M300" s="23">
        <v>0</v>
      </c>
    </row>
    <row r="301" spans="1:13" ht="30.75" thickBot="1" x14ac:dyDescent="0.3">
      <c r="A301" s="10" t="s">
        <v>567</v>
      </c>
      <c r="B301" s="11" t="s">
        <v>568</v>
      </c>
      <c r="C301" s="12" t="s">
        <v>183</v>
      </c>
      <c r="D301" s="11"/>
      <c r="E301" s="11" t="s">
        <v>519</v>
      </c>
      <c r="F301" s="56">
        <v>0</v>
      </c>
      <c r="G301" s="56">
        <v>0</v>
      </c>
      <c r="H301" s="56">
        <v>0</v>
      </c>
      <c r="I301" s="11" t="s">
        <v>569</v>
      </c>
      <c r="J301" s="13" t="s">
        <v>22</v>
      </c>
      <c r="K301" s="13">
        <v>11</v>
      </c>
      <c r="L301" s="13">
        <v>5</v>
      </c>
      <c r="M301" s="24">
        <v>6</v>
      </c>
    </row>
    <row r="302" spans="1:13" ht="30" x14ac:dyDescent="0.25">
      <c r="A302" s="76" t="s">
        <v>570</v>
      </c>
      <c r="B302" s="78" t="s">
        <v>571</v>
      </c>
      <c r="C302" s="79"/>
      <c r="D302" s="79"/>
      <c r="E302" s="80"/>
      <c r="F302" s="121">
        <f>F303+F304+F305+F309+F312+F315+F318</f>
        <v>10121.5</v>
      </c>
      <c r="G302" s="121">
        <f>G303+G304+G305+G309+G312+G315+G318</f>
        <v>7318.6</v>
      </c>
      <c r="H302" s="121">
        <f>H303+H304+H305+H309+H312+H315+H318</f>
        <v>7787</v>
      </c>
      <c r="I302" s="64" t="s">
        <v>572</v>
      </c>
      <c r="J302" s="7" t="s">
        <v>27</v>
      </c>
      <c r="K302" s="7">
        <v>7</v>
      </c>
      <c r="L302" s="7">
        <v>8</v>
      </c>
      <c r="M302" s="25">
        <v>9</v>
      </c>
    </row>
    <row r="303" spans="1:13" ht="30.75" thickBot="1" x14ac:dyDescent="0.3">
      <c r="A303" s="77"/>
      <c r="B303" s="81"/>
      <c r="C303" s="82"/>
      <c r="D303" s="82"/>
      <c r="E303" s="83"/>
      <c r="F303" s="122"/>
      <c r="G303" s="122"/>
      <c r="H303" s="122"/>
      <c r="I303" s="65" t="s">
        <v>573</v>
      </c>
      <c r="J303" s="34" t="s">
        <v>379</v>
      </c>
      <c r="K303" s="34">
        <v>1.3</v>
      </c>
      <c r="L303" s="34">
        <v>1.3</v>
      </c>
      <c r="M303" s="35">
        <v>1.3</v>
      </c>
    </row>
    <row r="304" spans="1:13" ht="46.5" customHeight="1" thickBot="1" x14ac:dyDescent="0.3">
      <c r="A304" s="10" t="s">
        <v>574</v>
      </c>
      <c r="B304" s="11" t="s">
        <v>575</v>
      </c>
      <c r="C304" s="12" t="s">
        <v>510</v>
      </c>
      <c r="D304" s="11" t="s">
        <v>42</v>
      </c>
      <c r="E304" s="11"/>
      <c r="F304" s="56">
        <v>3499.1</v>
      </c>
      <c r="G304" s="56">
        <v>3526.6</v>
      </c>
      <c r="H304" s="56">
        <v>4501.8</v>
      </c>
      <c r="I304" s="11" t="s">
        <v>576</v>
      </c>
      <c r="J304" s="13" t="s">
        <v>27</v>
      </c>
      <c r="K304" s="13">
        <v>100</v>
      </c>
      <c r="L304" s="13">
        <v>100</v>
      </c>
      <c r="M304" s="24">
        <v>100</v>
      </c>
    </row>
    <row r="305" spans="1:13" ht="30" x14ac:dyDescent="0.25">
      <c r="A305" s="70" t="s">
        <v>577</v>
      </c>
      <c r="B305" s="73" t="s">
        <v>578</v>
      </c>
      <c r="C305" s="73" t="s">
        <v>183</v>
      </c>
      <c r="D305" s="84" t="s">
        <v>42</v>
      </c>
      <c r="E305" s="84"/>
      <c r="F305" s="103">
        <f>SUM(F306:F308)+837</f>
        <v>837</v>
      </c>
      <c r="G305" s="103">
        <f>SUM(G306:G308)+850</f>
        <v>850</v>
      </c>
      <c r="H305" s="103">
        <f>SUM(H306:H308)+850</f>
        <v>850</v>
      </c>
      <c r="I305" s="11" t="s">
        <v>579</v>
      </c>
      <c r="J305" s="13" t="s">
        <v>27</v>
      </c>
      <c r="K305" s="13">
        <v>100</v>
      </c>
      <c r="L305" s="13">
        <v>100</v>
      </c>
      <c r="M305" s="24">
        <v>100</v>
      </c>
    </row>
    <row r="306" spans="1:13" x14ac:dyDescent="0.25">
      <c r="A306" s="71"/>
      <c r="B306" s="74"/>
      <c r="C306" s="74"/>
      <c r="D306" s="85"/>
      <c r="E306" s="85"/>
      <c r="F306" s="108"/>
      <c r="G306" s="108"/>
      <c r="H306" s="108"/>
      <c r="I306" s="8" t="s">
        <v>580</v>
      </c>
      <c r="J306" s="9" t="s">
        <v>373</v>
      </c>
      <c r="K306" s="9">
        <v>307</v>
      </c>
      <c r="L306" s="9">
        <v>0</v>
      </c>
      <c r="M306" s="23">
        <v>0</v>
      </c>
    </row>
    <row r="307" spans="1:13" x14ac:dyDescent="0.25">
      <c r="A307" s="71"/>
      <c r="B307" s="74"/>
      <c r="C307" s="74"/>
      <c r="D307" s="85"/>
      <c r="E307" s="85"/>
      <c r="F307" s="108"/>
      <c r="G307" s="108"/>
      <c r="H307" s="108"/>
      <c r="I307" s="8" t="s">
        <v>581</v>
      </c>
      <c r="J307" s="9" t="s">
        <v>97</v>
      </c>
      <c r="K307" s="9">
        <v>15</v>
      </c>
      <c r="L307" s="9">
        <v>15</v>
      </c>
      <c r="M307" s="23">
        <v>15</v>
      </c>
    </row>
    <row r="308" spans="1:13" ht="15.75" thickBot="1" x14ac:dyDescent="0.3">
      <c r="A308" s="72"/>
      <c r="B308" s="75"/>
      <c r="C308" s="75"/>
      <c r="D308" s="86"/>
      <c r="E308" s="86"/>
      <c r="F308" s="104"/>
      <c r="G308" s="104"/>
      <c r="H308" s="104"/>
      <c r="I308" s="8" t="s">
        <v>582</v>
      </c>
      <c r="J308" s="9" t="s">
        <v>22</v>
      </c>
      <c r="K308" s="9">
        <v>220</v>
      </c>
      <c r="L308" s="9">
        <v>220</v>
      </c>
      <c r="M308" s="23">
        <v>220</v>
      </c>
    </row>
    <row r="309" spans="1:13" x14ac:dyDescent="0.25">
      <c r="A309" s="70" t="s">
        <v>583</v>
      </c>
      <c r="B309" s="73" t="s">
        <v>584</v>
      </c>
      <c r="C309" s="73" t="s">
        <v>523</v>
      </c>
      <c r="D309" s="11"/>
      <c r="E309" s="11" t="s">
        <v>519</v>
      </c>
      <c r="F309" s="52">
        <f>SUM(F310:F311)</f>
        <v>1005</v>
      </c>
      <c r="G309" s="52">
        <f>SUM(G310:G311)</f>
        <v>1360.1</v>
      </c>
      <c r="H309" s="52">
        <f>SUM(H310:H311)</f>
        <v>1135.2</v>
      </c>
      <c r="I309" s="11" t="s">
        <v>585</v>
      </c>
      <c r="J309" s="13" t="s">
        <v>27</v>
      </c>
      <c r="K309" s="13">
        <v>25</v>
      </c>
      <c r="L309" s="13">
        <v>65</v>
      </c>
      <c r="M309" s="24">
        <v>100</v>
      </c>
    </row>
    <row r="310" spans="1:13" x14ac:dyDescent="0.25">
      <c r="A310" s="71"/>
      <c r="B310" s="74"/>
      <c r="C310" s="74"/>
      <c r="D310" s="8" t="s">
        <v>42</v>
      </c>
      <c r="E310" s="8"/>
      <c r="F310" s="44">
        <v>225.1</v>
      </c>
      <c r="G310" s="44">
        <v>275.10000000000002</v>
      </c>
      <c r="H310" s="44">
        <v>450.1</v>
      </c>
      <c r="I310" s="8"/>
      <c r="J310" s="9"/>
      <c r="K310" s="9"/>
      <c r="L310" s="9"/>
      <c r="M310" s="23"/>
    </row>
    <row r="311" spans="1:13" ht="15.75" thickBot="1" x14ac:dyDescent="0.3">
      <c r="A311" s="72"/>
      <c r="B311" s="75"/>
      <c r="C311" s="75"/>
      <c r="D311" s="8" t="s">
        <v>30</v>
      </c>
      <c r="E311" s="8"/>
      <c r="F311" s="44">
        <v>779.9</v>
      </c>
      <c r="G311" s="44">
        <v>1085</v>
      </c>
      <c r="H311" s="44">
        <v>685.1</v>
      </c>
      <c r="I311" s="8"/>
      <c r="J311" s="9"/>
      <c r="K311" s="9"/>
      <c r="L311" s="9"/>
      <c r="M311" s="23"/>
    </row>
    <row r="312" spans="1:13" ht="45" customHeight="1" x14ac:dyDescent="0.25">
      <c r="A312" s="70" t="s">
        <v>586</v>
      </c>
      <c r="B312" s="73" t="s">
        <v>587</v>
      </c>
      <c r="C312" s="73" t="s">
        <v>523</v>
      </c>
      <c r="D312" s="11"/>
      <c r="E312" s="11" t="s">
        <v>519</v>
      </c>
      <c r="F312" s="52">
        <f>SUM(F313:F314)</f>
        <v>2260.4</v>
      </c>
      <c r="G312" s="52">
        <f>SUM(G313:G314)</f>
        <v>131.9</v>
      </c>
      <c r="H312" s="52">
        <f>SUM(H313:H314)</f>
        <v>50</v>
      </c>
      <c r="I312" s="11" t="s">
        <v>588</v>
      </c>
      <c r="J312" s="13" t="s">
        <v>27</v>
      </c>
      <c r="K312" s="13">
        <v>90</v>
      </c>
      <c r="L312" s="13">
        <v>100</v>
      </c>
      <c r="M312" s="24"/>
    </row>
    <row r="313" spans="1:13" x14ac:dyDescent="0.25">
      <c r="A313" s="71"/>
      <c r="B313" s="74"/>
      <c r="C313" s="74"/>
      <c r="D313" s="8" t="s">
        <v>42</v>
      </c>
      <c r="E313" s="8"/>
      <c r="F313" s="44">
        <v>497.3</v>
      </c>
      <c r="G313" s="44">
        <v>32.700000000000003</v>
      </c>
      <c r="H313" s="44">
        <v>7.5</v>
      </c>
      <c r="I313" s="8" t="s">
        <v>589</v>
      </c>
      <c r="J313" s="9" t="s">
        <v>22</v>
      </c>
      <c r="K313" s="9"/>
      <c r="L313" s="9"/>
      <c r="M313" s="23">
        <v>1</v>
      </c>
    </row>
    <row r="314" spans="1:13" ht="15.75" thickBot="1" x14ac:dyDescent="0.3">
      <c r="A314" s="72"/>
      <c r="B314" s="75"/>
      <c r="C314" s="75"/>
      <c r="D314" s="8" t="s">
        <v>30</v>
      </c>
      <c r="E314" s="8"/>
      <c r="F314" s="44">
        <v>1763.1</v>
      </c>
      <c r="G314" s="44">
        <v>99.2</v>
      </c>
      <c r="H314" s="44">
        <v>42.5</v>
      </c>
      <c r="I314" s="8"/>
      <c r="J314" s="9"/>
      <c r="K314" s="9"/>
      <c r="L314" s="9"/>
      <c r="M314" s="23"/>
    </row>
    <row r="315" spans="1:13" ht="78" customHeight="1" x14ac:dyDescent="0.25">
      <c r="A315" s="70" t="s">
        <v>590</v>
      </c>
      <c r="B315" s="73" t="s">
        <v>591</v>
      </c>
      <c r="C315" s="73" t="s">
        <v>183</v>
      </c>
      <c r="D315" s="84" t="s">
        <v>42</v>
      </c>
      <c r="E315" s="84" t="s">
        <v>519</v>
      </c>
      <c r="F315" s="103">
        <f>SUM(F316:F317)+2300</f>
        <v>2300</v>
      </c>
      <c r="G315" s="103">
        <f>SUM(G316:G317)+1200</f>
        <v>1200</v>
      </c>
      <c r="H315" s="103">
        <f>SUM(H316:H317)+1000</f>
        <v>1000</v>
      </c>
      <c r="I315" s="11" t="s">
        <v>592</v>
      </c>
      <c r="J315" s="13" t="s">
        <v>375</v>
      </c>
      <c r="K315" s="13">
        <v>5.2</v>
      </c>
      <c r="L315" s="13">
        <v>2.7</v>
      </c>
      <c r="M315" s="24">
        <v>2.2000000000000002</v>
      </c>
    </row>
    <row r="316" spans="1:13" x14ac:dyDescent="0.25">
      <c r="A316" s="71"/>
      <c r="B316" s="74"/>
      <c r="C316" s="74"/>
      <c r="D316" s="85"/>
      <c r="E316" s="85"/>
      <c r="F316" s="108"/>
      <c r="G316" s="108"/>
      <c r="H316" s="108"/>
      <c r="I316" s="8" t="s">
        <v>593</v>
      </c>
      <c r="J316" s="9" t="s">
        <v>22</v>
      </c>
      <c r="K316" s="9">
        <v>12</v>
      </c>
      <c r="L316" s="9">
        <v>8</v>
      </c>
      <c r="M316" s="23">
        <v>8</v>
      </c>
    </row>
    <row r="317" spans="1:13" ht="15.75" thickBot="1" x14ac:dyDescent="0.3">
      <c r="A317" s="72"/>
      <c r="B317" s="75"/>
      <c r="C317" s="75"/>
      <c r="D317" s="86"/>
      <c r="E317" s="86"/>
      <c r="F317" s="104"/>
      <c r="G317" s="104"/>
      <c r="H317" s="104"/>
      <c r="I317" s="8" t="s">
        <v>594</v>
      </c>
      <c r="J317" s="9" t="s">
        <v>22</v>
      </c>
      <c r="K317" s="9">
        <v>300</v>
      </c>
      <c r="L317" s="9">
        <v>300</v>
      </c>
      <c r="M317" s="23">
        <v>300</v>
      </c>
    </row>
    <row r="318" spans="1:13" ht="45.75" thickBot="1" x14ac:dyDescent="0.3">
      <c r="A318" s="10" t="s">
        <v>595</v>
      </c>
      <c r="B318" s="11" t="s">
        <v>596</v>
      </c>
      <c r="C318" s="12" t="s">
        <v>183</v>
      </c>
      <c r="D318" s="11" t="s">
        <v>42</v>
      </c>
      <c r="E318" s="11"/>
      <c r="F318" s="56">
        <v>220</v>
      </c>
      <c r="G318" s="56">
        <v>250</v>
      </c>
      <c r="H318" s="56">
        <v>250</v>
      </c>
      <c r="I318" s="11" t="s">
        <v>597</v>
      </c>
      <c r="J318" s="13" t="s">
        <v>22</v>
      </c>
      <c r="K318" s="13">
        <v>30</v>
      </c>
      <c r="L318" s="13">
        <v>35</v>
      </c>
      <c r="M318" s="24">
        <v>40</v>
      </c>
    </row>
    <row r="319" spans="1:13" ht="35.25" customHeight="1" thickBot="1" x14ac:dyDescent="0.3">
      <c r="A319" s="4" t="s">
        <v>598</v>
      </c>
      <c r="B319" s="5" t="s">
        <v>599</v>
      </c>
      <c r="C319" s="91" t="s">
        <v>1285</v>
      </c>
      <c r="D319" s="92"/>
      <c r="E319" s="93"/>
      <c r="F319" s="53">
        <f>F320+F355+F381</f>
        <v>2012.6</v>
      </c>
      <c r="G319" s="53">
        <f>G320+G355+G381</f>
        <v>1710.3</v>
      </c>
      <c r="H319" s="53">
        <f>H320+H355+H381</f>
        <v>1380.1</v>
      </c>
      <c r="I319" s="88"/>
      <c r="J319" s="89"/>
      <c r="K319" s="89"/>
      <c r="L319" s="89"/>
      <c r="M319" s="90"/>
    </row>
    <row r="320" spans="1:13" x14ac:dyDescent="0.25">
      <c r="A320" s="76" t="s">
        <v>600</v>
      </c>
      <c r="B320" s="78" t="s">
        <v>601</v>
      </c>
      <c r="C320" s="79"/>
      <c r="D320" s="79"/>
      <c r="E320" s="80"/>
      <c r="F320" s="121">
        <f>F321+F322+F323+F324+F327+F329+F330+F331+F332+F337+F340+F350+F354</f>
        <v>1348</v>
      </c>
      <c r="G320" s="121">
        <f>G321+G322+G323+G324+G327+G329+G330+G331+G332+G337+G340+G350+G354</f>
        <v>1113.5</v>
      </c>
      <c r="H320" s="121">
        <f>H321+H322+H323+H324+H327+H329+H330+H331+H332+H337+H340+H350+H354</f>
        <v>645.5</v>
      </c>
      <c r="I320" s="64" t="s">
        <v>602</v>
      </c>
      <c r="J320" s="7" t="s">
        <v>20</v>
      </c>
      <c r="K320" s="40">
        <v>0.38</v>
      </c>
      <c r="L320" s="40">
        <v>0.4</v>
      </c>
      <c r="M320" s="41">
        <v>0.42</v>
      </c>
    </row>
    <row r="321" spans="1:13" ht="17.25" customHeight="1" x14ac:dyDescent="0.25">
      <c r="A321" s="94"/>
      <c r="B321" s="95"/>
      <c r="C321" s="96"/>
      <c r="D321" s="96"/>
      <c r="E321" s="97"/>
      <c r="F321" s="144"/>
      <c r="G321" s="144"/>
      <c r="H321" s="144"/>
      <c r="I321" s="65" t="s">
        <v>603</v>
      </c>
      <c r="J321" s="34" t="s">
        <v>27</v>
      </c>
      <c r="K321" s="34">
        <v>6.7</v>
      </c>
      <c r="L321" s="34">
        <v>6.5</v>
      </c>
      <c r="M321" s="35">
        <v>6.4</v>
      </c>
    </row>
    <row r="322" spans="1:13" ht="30.75" thickBot="1" x14ac:dyDescent="0.3">
      <c r="A322" s="77"/>
      <c r="B322" s="81"/>
      <c r="C322" s="82"/>
      <c r="D322" s="82"/>
      <c r="E322" s="83"/>
      <c r="F322" s="122"/>
      <c r="G322" s="122"/>
      <c r="H322" s="122"/>
      <c r="I322" s="65" t="s">
        <v>604</v>
      </c>
      <c r="J322" s="34" t="s">
        <v>22</v>
      </c>
      <c r="K322" s="42">
        <v>0.88</v>
      </c>
      <c r="L322" s="42">
        <v>0.9</v>
      </c>
      <c r="M322" s="43">
        <v>0.91</v>
      </c>
    </row>
    <row r="323" spans="1:13" ht="30.75" thickBot="1" x14ac:dyDescent="0.3">
      <c r="A323" s="10" t="s">
        <v>605</v>
      </c>
      <c r="B323" s="11" t="s">
        <v>606</v>
      </c>
      <c r="C323" s="12" t="s">
        <v>159</v>
      </c>
      <c r="D323" s="11" t="s">
        <v>42</v>
      </c>
      <c r="E323" s="11"/>
      <c r="F323" s="56">
        <v>50</v>
      </c>
      <c r="G323" s="56">
        <v>50</v>
      </c>
      <c r="H323" s="56">
        <v>70</v>
      </c>
      <c r="I323" s="11" t="s">
        <v>607</v>
      </c>
      <c r="J323" s="13" t="s">
        <v>22</v>
      </c>
      <c r="K323" s="13">
        <v>9</v>
      </c>
      <c r="L323" s="13">
        <v>9</v>
      </c>
      <c r="M323" s="24">
        <v>10</v>
      </c>
    </row>
    <row r="324" spans="1:13" x14ac:dyDescent="0.25">
      <c r="A324" s="70" t="s">
        <v>608</v>
      </c>
      <c r="B324" s="73" t="s">
        <v>609</v>
      </c>
      <c r="C324" s="73" t="s">
        <v>159</v>
      </c>
      <c r="D324" s="84" t="s">
        <v>42</v>
      </c>
      <c r="E324" s="84"/>
      <c r="F324" s="103">
        <f>SUM(F325:F326)+23</f>
        <v>23</v>
      </c>
      <c r="G324" s="103">
        <f>SUM(G325:G326)+25</f>
        <v>25</v>
      </c>
      <c r="H324" s="103">
        <f>SUM(H325:H326)+27</f>
        <v>27</v>
      </c>
      <c r="I324" s="11" t="s">
        <v>610</v>
      </c>
      <c r="J324" s="13" t="s">
        <v>22</v>
      </c>
      <c r="K324" s="13">
        <v>5</v>
      </c>
      <c r="L324" s="13">
        <v>5</v>
      </c>
      <c r="M324" s="24">
        <v>5</v>
      </c>
    </row>
    <row r="325" spans="1:13" x14ac:dyDescent="0.25">
      <c r="A325" s="71"/>
      <c r="B325" s="74"/>
      <c r="C325" s="74"/>
      <c r="D325" s="85"/>
      <c r="E325" s="85"/>
      <c r="F325" s="108"/>
      <c r="G325" s="108"/>
      <c r="H325" s="108"/>
      <c r="I325" s="8" t="s">
        <v>611</v>
      </c>
      <c r="J325" s="9" t="s">
        <v>22</v>
      </c>
      <c r="K325" s="9">
        <v>6</v>
      </c>
      <c r="L325" s="9">
        <v>6</v>
      </c>
      <c r="M325" s="23">
        <v>6</v>
      </c>
    </row>
    <row r="326" spans="1:13" ht="15.75" thickBot="1" x14ac:dyDescent="0.3">
      <c r="A326" s="72"/>
      <c r="B326" s="75"/>
      <c r="C326" s="75"/>
      <c r="D326" s="86"/>
      <c r="E326" s="86"/>
      <c r="F326" s="104"/>
      <c r="G326" s="104"/>
      <c r="H326" s="104"/>
      <c r="I326" s="8" t="s">
        <v>612</v>
      </c>
      <c r="J326" s="9" t="s">
        <v>613</v>
      </c>
      <c r="K326" s="9">
        <v>280</v>
      </c>
      <c r="L326" s="9">
        <v>280</v>
      </c>
      <c r="M326" s="23">
        <v>280</v>
      </c>
    </row>
    <row r="327" spans="1:13" x14ac:dyDescent="0.25">
      <c r="A327" s="70" t="s">
        <v>614</v>
      </c>
      <c r="B327" s="73" t="s">
        <v>615</v>
      </c>
      <c r="C327" s="73" t="s">
        <v>159</v>
      </c>
      <c r="D327" s="84" t="s">
        <v>42</v>
      </c>
      <c r="E327" s="84"/>
      <c r="F327" s="103">
        <f>SUM(F328:F328)+46</f>
        <v>46</v>
      </c>
      <c r="G327" s="103">
        <f>SUM(G328:G328)+48</f>
        <v>48</v>
      </c>
      <c r="H327" s="103">
        <f>SUM(H328:H328)+50</f>
        <v>50</v>
      </c>
      <c r="I327" s="11" t="s">
        <v>616</v>
      </c>
      <c r="J327" s="13" t="s">
        <v>97</v>
      </c>
      <c r="K327" s="13">
        <v>35</v>
      </c>
      <c r="L327" s="13">
        <v>35</v>
      </c>
      <c r="M327" s="24">
        <v>35</v>
      </c>
    </row>
    <row r="328" spans="1:13" ht="30.75" thickBot="1" x14ac:dyDescent="0.3">
      <c r="A328" s="72"/>
      <c r="B328" s="75"/>
      <c r="C328" s="75"/>
      <c r="D328" s="86"/>
      <c r="E328" s="86"/>
      <c r="F328" s="104"/>
      <c r="G328" s="104"/>
      <c r="H328" s="104"/>
      <c r="I328" s="8" t="s">
        <v>617</v>
      </c>
      <c r="J328" s="9" t="s">
        <v>22</v>
      </c>
      <c r="K328" s="9">
        <v>15</v>
      </c>
      <c r="L328" s="9">
        <v>15</v>
      </c>
      <c r="M328" s="23">
        <v>15</v>
      </c>
    </row>
    <row r="329" spans="1:13" ht="78" customHeight="1" thickBot="1" x14ac:dyDescent="0.3">
      <c r="A329" s="10" t="s">
        <v>618</v>
      </c>
      <c r="B329" s="11" t="s">
        <v>619</v>
      </c>
      <c r="C329" s="12" t="s">
        <v>159</v>
      </c>
      <c r="D329" s="11" t="s">
        <v>42</v>
      </c>
      <c r="E329" s="11"/>
      <c r="F329" s="56">
        <v>4</v>
      </c>
      <c r="G329" s="56">
        <v>4</v>
      </c>
      <c r="H329" s="56">
        <v>0</v>
      </c>
      <c r="I329" s="11" t="s">
        <v>620</v>
      </c>
      <c r="J329" s="13" t="s">
        <v>22</v>
      </c>
      <c r="K329" s="13">
        <v>10</v>
      </c>
      <c r="L329" s="13">
        <v>10</v>
      </c>
      <c r="M329" s="24">
        <v>0</v>
      </c>
    </row>
    <row r="330" spans="1:13" ht="60" x14ac:dyDescent="0.25">
      <c r="A330" s="10" t="s">
        <v>621</v>
      </c>
      <c r="B330" s="11" t="s">
        <v>622</v>
      </c>
      <c r="C330" s="12" t="s">
        <v>623</v>
      </c>
      <c r="D330" s="11" t="s">
        <v>42</v>
      </c>
      <c r="E330" s="11"/>
      <c r="F330" s="56">
        <v>25</v>
      </c>
      <c r="G330" s="56">
        <v>50</v>
      </c>
      <c r="H330" s="56">
        <v>50</v>
      </c>
      <c r="I330" s="11" t="s">
        <v>624</v>
      </c>
      <c r="J330" s="13" t="s">
        <v>27</v>
      </c>
      <c r="K330" s="13">
        <v>100</v>
      </c>
      <c r="L330" s="13">
        <v>100</v>
      </c>
      <c r="M330" s="24">
        <v>100</v>
      </c>
    </row>
    <row r="331" spans="1:13" ht="30.75" thickBot="1" x14ac:dyDescent="0.3">
      <c r="A331" s="10" t="s">
        <v>625</v>
      </c>
      <c r="B331" s="11" t="s">
        <v>626</v>
      </c>
      <c r="C331" s="12" t="s">
        <v>627</v>
      </c>
      <c r="D331" s="11" t="s">
        <v>42</v>
      </c>
      <c r="E331" s="11"/>
      <c r="F331" s="56">
        <v>100</v>
      </c>
      <c r="G331" s="56">
        <v>100</v>
      </c>
      <c r="H331" s="56">
        <v>100</v>
      </c>
      <c r="I331" s="11" t="s">
        <v>628</v>
      </c>
      <c r="J331" s="13" t="s">
        <v>22</v>
      </c>
      <c r="K331" s="13">
        <v>15</v>
      </c>
      <c r="L331" s="13">
        <v>15</v>
      </c>
      <c r="M331" s="24">
        <v>15</v>
      </c>
    </row>
    <row r="332" spans="1:13" x14ac:dyDescent="0.25">
      <c r="A332" s="70" t="s">
        <v>629</v>
      </c>
      <c r="B332" s="73" t="s">
        <v>630</v>
      </c>
      <c r="C332" s="73" t="s">
        <v>631</v>
      </c>
      <c r="D332" s="84" t="s">
        <v>42</v>
      </c>
      <c r="E332" s="84" t="s">
        <v>519</v>
      </c>
      <c r="F332" s="103">
        <f>SUM(F333:F336)+730</f>
        <v>730</v>
      </c>
      <c r="G332" s="103">
        <f>SUM(G333:G336)+500</f>
        <v>500</v>
      </c>
      <c r="H332" s="103">
        <f>SUM(H333:H336)</f>
        <v>0</v>
      </c>
      <c r="I332" s="11" t="s">
        <v>632</v>
      </c>
      <c r="J332" s="13" t="s">
        <v>22</v>
      </c>
      <c r="K332" s="13">
        <v>1</v>
      </c>
      <c r="L332" s="13"/>
      <c r="M332" s="24"/>
    </row>
    <row r="333" spans="1:13" x14ac:dyDescent="0.25">
      <c r="A333" s="71"/>
      <c r="B333" s="74"/>
      <c r="C333" s="74"/>
      <c r="D333" s="85"/>
      <c r="E333" s="85"/>
      <c r="F333" s="108"/>
      <c r="G333" s="108"/>
      <c r="H333" s="108"/>
      <c r="I333" s="8" t="s">
        <v>633</v>
      </c>
      <c r="J333" s="9" t="s">
        <v>93</v>
      </c>
      <c r="K333" s="9">
        <v>1</v>
      </c>
      <c r="L333" s="9"/>
      <c r="M333" s="23"/>
    </row>
    <row r="334" spans="1:13" x14ac:dyDescent="0.25">
      <c r="A334" s="71"/>
      <c r="B334" s="74"/>
      <c r="C334" s="74"/>
      <c r="D334" s="85"/>
      <c r="E334" s="85"/>
      <c r="F334" s="108"/>
      <c r="G334" s="108"/>
      <c r="H334" s="108"/>
      <c r="I334" s="8" t="s">
        <v>634</v>
      </c>
      <c r="J334" s="9" t="s">
        <v>22</v>
      </c>
      <c r="K334" s="9">
        <v>1</v>
      </c>
      <c r="L334" s="9"/>
      <c r="M334" s="23"/>
    </row>
    <row r="335" spans="1:13" ht="17.25" customHeight="1" x14ac:dyDescent="0.25">
      <c r="A335" s="71"/>
      <c r="B335" s="74"/>
      <c r="C335" s="74"/>
      <c r="D335" s="85"/>
      <c r="E335" s="85"/>
      <c r="F335" s="108"/>
      <c r="G335" s="108"/>
      <c r="H335" s="108"/>
      <c r="I335" s="8" t="s">
        <v>635</v>
      </c>
      <c r="J335" s="9" t="s">
        <v>93</v>
      </c>
      <c r="K335" s="9"/>
      <c r="L335" s="9">
        <v>1</v>
      </c>
      <c r="M335" s="23"/>
    </row>
    <row r="336" spans="1:13" ht="15.75" thickBot="1" x14ac:dyDescent="0.3">
      <c r="A336" s="72"/>
      <c r="B336" s="75"/>
      <c r="C336" s="75"/>
      <c r="D336" s="86"/>
      <c r="E336" s="86"/>
      <c r="F336" s="104"/>
      <c r="G336" s="104"/>
      <c r="H336" s="104"/>
      <c r="I336" s="8" t="s">
        <v>636</v>
      </c>
      <c r="J336" s="9" t="s">
        <v>27</v>
      </c>
      <c r="K336" s="9"/>
      <c r="L336" s="9"/>
      <c r="M336" s="23">
        <v>100</v>
      </c>
    </row>
    <row r="337" spans="1:13" ht="30" x14ac:dyDescent="0.25">
      <c r="A337" s="70" t="s">
        <v>637</v>
      </c>
      <c r="B337" s="73" t="s">
        <v>638</v>
      </c>
      <c r="C337" s="73" t="s">
        <v>639</v>
      </c>
      <c r="D337" s="84" t="s">
        <v>42</v>
      </c>
      <c r="E337" s="84" t="s">
        <v>519</v>
      </c>
      <c r="F337" s="103">
        <f>SUM(F338:F339)+220</f>
        <v>220</v>
      </c>
      <c r="G337" s="103">
        <f>SUM(G338:G339)+170</f>
        <v>170</v>
      </c>
      <c r="H337" s="103">
        <f>SUM(H338:H339)+170</f>
        <v>170</v>
      </c>
      <c r="I337" s="11" t="s">
        <v>640</v>
      </c>
      <c r="J337" s="13" t="s">
        <v>27</v>
      </c>
      <c r="K337" s="13">
        <v>100</v>
      </c>
      <c r="L337" s="13">
        <v>100</v>
      </c>
      <c r="M337" s="24">
        <v>100</v>
      </c>
    </row>
    <row r="338" spans="1:13" x14ac:dyDescent="0.25">
      <c r="A338" s="71"/>
      <c r="B338" s="74"/>
      <c r="C338" s="74"/>
      <c r="D338" s="85"/>
      <c r="E338" s="85"/>
      <c r="F338" s="108"/>
      <c r="G338" s="108"/>
      <c r="H338" s="108"/>
      <c r="I338" s="8" t="s">
        <v>641</v>
      </c>
      <c r="J338" s="9" t="s">
        <v>22</v>
      </c>
      <c r="K338" s="9">
        <v>1</v>
      </c>
      <c r="L338" s="9"/>
      <c r="M338" s="23"/>
    </row>
    <row r="339" spans="1:13" ht="15.75" thickBot="1" x14ac:dyDescent="0.3">
      <c r="A339" s="72"/>
      <c r="B339" s="75"/>
      <c r="C339" s="75"/>
      <c r="D339" s="86"/>
      <c r="E339" s="86"/>
      <c r="F339" s="104"/>
      <c r="G339" s="104"/>
      <c r="H339" s="104"/>
      <c r="I339" s="8" t="s">
        <v>642</v>
      </c>
      <c r="J339" s="9" t="s">
        <v>27</v>
      </c>
      <c r="K339" s="9">
        <v>100</v>
      </c>
      <c r="L339" s="9"/>
      <c r="M339" s="23"/>
    </row>
    <row r="340" spans="1:13" x14ac:dyDescent="0.25">
      <c r="A340" s="70" t="s">
        <v>643</v>
      </c>
      <c r="B340" s="73" t="s">
        <v>644</v>
      </c>
      <c r="C340" s="73" t="s">
        <v>159</v>
      </c>
      <c r="D340" s="84" t="s">
        <v>42</v>
      </c>
      <c r="E340" s="84"/>
      <c r="F340" s="103">
        <f>SUM(F341:F349)+62.5</f>
        <v>62.5</v>
      </c>
      <c r="G340" s="103">
        <f>SUM(G341:G349)+62.5</f>
        <v>62.5</v>
      </c>
      <c r="H340" s="103">
        <f>SUM(H341:H349)+62.5</f>
        <v>62.5</v>
      </c>
      <c r="I340" s="11" t="s">
        <v>645</v>
      </c>
      <c r="J340" s="13" t="s">
        <v>22</v>
      </c>
      <c r="K340" s="13">
        <v>4</v>
      </c>
      <c r="L340" s="13">
        <v>4</v>
      </c>
      <c r="M340" s="24">
        <v>4</v>
      </c>
    </row>
    <row r="341" spans="1:13" ht="30" x14ac:dyDescent="0.25">
      <c r="A341" s="71"/>
      <c r="B341" s="74"/>
      <c r="C341" s="74"/>
      <c r="D341" s="85"/>
      <c r="E341" s="85"/>
      <c r="F341" s="108"/>
      <c r="G341" s="108"/>
      <c r="H341" s="108"/>
      <c r="I341" s="8" t="s">
        <v>646</v>
      </c>
      <c r="J341" s="9" t="s">
        <v>22</v>
      </c>
      <c r="K341" s="9">
        <v>6</v>
      </c>
      <c r="L341" s="9">
        <v>6</v>
      </c>
      <c r="M341" s="23">
        <v>6</v>
      </c>
    </row>
    <row r="342" spans="1:13" x14ac:dyDescent="0.25">
      <c r="A342" s="71"/>
      <c r="B342" s="74"/>
      <c r="C342" s="74"/>
      <c r="D342" s="85"/>
      <c r="E342" s="85"/>
      <c r="F342" s="108"/>
      <c r="G342" s="108"/>
      <c r="H342" s="108"/>
      <c r="I342" s="8" t="s">
        <v>647</v>
      </c>
      <c r="J342" s="9" t="s">
        <v>22</v>
      </c>
      <c r="K342" s="9">
        <v>1</v>
      </c>
      <c r="L342" s="9">
        <v>1</v>
      </c>
      <c r="M342" s="23">
        <v>1</v>
      </c>
    </row>
    <row r="343" spans="1:13" x14ac:dyDescent="0.25">
      <c r="A343" s="71"/>
      <c r="B343" s="74"/>
      <c r="C343" s="74"/>
      <c r="D343" s="85"/>
      <c r="E343" s="85"/>
      <c r="F343" s="108"/>
      <c r="G343" s="108"/>
      <c r="H343" s="108"/>
      <c r="I343" s="8" t="s">
        <v>648</v>
      </c>
      <c r="J343" s="9" t="s">
        <v>22</v>
      </c>
      <c r="K343" s="9">
        <v>1</v>
      </c>
      <c r="L343" s="9">
        <v>1</v>
      </c>
      <c r="M343" s="23">
        <v>1</v>
      </c>
    </row>
    <row r="344" spans="1:13" x14ac:dyDescent="0.25">
      <c r="A344" s="71"/>
      <c r="B344" s="74"/>
      <c r="C344" s="74"/>
      <c r="D344" s="85"/>
      <c r="E344" s="85"/>
      <c r="F344" s="108"/>
      <c r="G344" s="108"/>
      <c r="H344" s="108"/>
      <c r="I344" s="8" t="s">
        <v>649</v>
      </c>
      <c r="J344" s="9" t="s">
        <v>22</v>
      </c>
      <c r="K344" s="9">
        <v>1</v>
      </c>
      <c r="L344" s="9">
        <v>1</v>
      </c>
      <c r="M344" s="23">
        <v>1</v>
      </c>
    </row>
    <row r="345" spans="1:13" ht="30" x14ac:dyDescent="0.25">
      <c r="A345" s="71"/>
      <c r="B345" s="74"/>
      <c r="C345" s="74"/>
      <c r="D345" s="85"/>
      <c r="E345" s="85"/>
      <c r="F345" s="108"/>
      <c r="G345" s="108"/>
      <c r="H345" s="108"/>
      <c r="I345" s="8" t="s">
        <v>650</v>
      </c>
      <c r="J345" s="9" t="s">
        <v>22</v>
      </c>
      <c r="K345" s="9">
        <v>1</v>
      </c>
      <c r="L345" s="9">
        <v>1</v>
      </c>
      <c r="M345" s="23">
        <v>1</v>
      </c>
    </row>
    <row r="346" spans="1:13" ht="30" x14ac:dyDescent="0.25">
      <c r="A346" s="71"/>
      <c r="B346" s="74"/>
      <c r="C346" s="74"/>
      <c r="D346" s="85"/>
      <c r="E346" s="85"/>
      <c r="F346" s="108"/>
      <c r="G346" s="108"/>
      <c r="H346" s="108"/>
      <c r="I346" s="8" t="s">
        <v>651</v>
      </c>
      <c r="J346" s="9" t="s">
        <v>22</v>
      </c>
      <c r="K346" s="9">
        <v>1</v>
      </c>
      <c r="L346" s="9"/>
      <c r="M346" s="23">
        <v>1</v>
      </c>
    </row>
    <row r="347" spans="1:13" ht="45" x14ac:dyDescent="0.25">
      <c r="A347" s="71"/>
      <c r="B347" s="74"/>
      <c r="C347" s="74"/>
      <c r="D347" s="85"/>
      <c r="E347" s="85"/>
      <c r="F347" s="108"/>
      <c r="G347" s="108"/>
      <c r="H347" s="108"/>
      <c r="I347" s="8" t="s">
        <v>652</v>
      </c>
      <c r="J347" s="9" t="s">
        <v>22</v>
      </c>
      <c r="K347" s="9">
        <v>2</v>
      </c>
      <c r="L347" s="9">
        <v>2</v>
      </c>
      <c r="M347" s="23">
        <v>2</v>
      </c>
    </row>
    <row r="348" spans="1:13" ht="33.75" customHeight="1" x14ac:dyDescent="0.25">
      <c r="A348" s="71"/>
      <c r="B348" s="74"/>
      <c r="C348" s="74"/>
      <c r="D348" s="85"/>
      <c r="E348" s="85"/>
      <c r="F348" s="108"/>
      <c r="G348" s="108"/>
      <c r="H348" s="108"/>
      <c r="I348" s="8" t="s">
        <v>653</v>
      </c>
      <c r="J348" s="9" t="s">
        <v>22</v>
      </c>
      <c r="K348" s="9">
        <v>1</v>
      </c>
      <c r="L348" s="9"/>
      <c r="M348" s="23"/>
    </row>
    <row r="349" spans="1:13" ht="30.75" thickBot="1" x14ac:dyDescent="0.3">
      <c r="A349" s="72"/>
      <c r="B349" s="75"/>
      <c r="C349" s="75"/>
      <c r="D349" s="86"/>
      <c r="E349" s="86"/>
      <c r="F349" s="104"/>
      <c r="G349" s="104"/>
      <c r="H349" s="104"/>
      <c r="I349" s="8" t="s">
        <v>654</v>
      </c>
      <c r="J349" s="9" t="s">
        <v>22</v>
      </c>
      <c r="K349" s="9">
        <v>1</v>
      </c>
      <c r="L349" s="9">
        <v>1</v>
      </c>
      <c r="M349" s="23">
        <v>1</v>
      </c>
    </row>
    <row r="350" spans="1:13" ht="30.75" customHeight="1" x14ac:dyDescent="0.25">
      <c r="A350" s="70" t="s">
        <v>655</v>
      </c>
      <c r="B350" s="73" t="s">
        <v>656</v>
      </c>
      <c r="C350" s="73" t="s">
        <v>657</v>
      </c>
      <c r="D350" s="84" t="s">
        <v>42</v>
      </c>
      <c r="E350" s="84"/>
      <c r="F350" s="103">
        <f>SUM(F351:F353)+73.5</f>
        <v>73.5</v>
      </c>
      <c r="G350" s="103">
        <f>SUM(G351:G353)+90</f>
        <v>90</v>
      </c>
      <c r="H350" s="103">
        <f>SUM(H351:H353)+102</f>
        <v>102</v>
      </c>
      <c r="I350" s="11" t="s">
        <v>658</v>
      </c>
      <c r="J350" s="13" t="s">
        <v>22</v>
      </c>
      <c r="K350" s="13">
        <v>12</v>
      </c>
      <c r="L350" s="13">
        <v>15</v>
      </c>
      <c r="M350" s="24">
        <v>17</v>
      </c>
    </row>
    <row r="351" spans="1:13" x14ac:dyDescent="0.25">
      <c r="A351" s="71"/>
      <c r="B351" s="74"/>
      <c r="C351" s="74"/>
      <c r="D351" s="85"/>
      <c r="E351" s="85"/>
      <c r="F351" s="108"/>
      <c r="G351" s="108"/>
      <c r="H351" s="108"/>
      <c r="I351" s="8" t="s">
        <v>659</v>
      </c>
      <c r="J351" s="9" t="s">
        <v>22</v>
      </c>
      <c r="K351" s="9">
        <v>9</v>
      </c>
      <c r="L351" s="9">
        <v>10</v>
      </c>
      <c r="M351" s="23">
        <v>11</v>
      </c>
    </row>
    <row r="352" spans="1:13" ht="30" x14ac:dyDescent="0.25">
      <c r="A352" s="71"/>
      <c r="B352" s="74"/>
      <c r="C352" s="74"/>
      <c r="D352" s="85"/>
      <c r="E352" s="85"/>
      <c r="F352" s="108"/>
      <c r="G352" s="108"/>
      <c r="H352" s="108"/>
      <c r="I352" s="8" t="s">
        <v>660</v>
      </c>
      <c r="J352" s="9" t="s">
        <v>22</v>
      </c>
      <c r="K352" s="9">
        <v>2</v>
      </c>
      <c r="L352" s="9">
        <v>2</v>
      </c>
      <c r="M352" s="23">
        <v>2</v>
      </c>
    </row>
    <row r="353" spans="1:13" ht="30.75" thickBot="1" x14ac:dyDescent="0.3">
      <c r="A353" s="72"/>
      <c r="B353" s="75"/>
      <c r="C353" s="75"/>
      <c r="D353" s="86"/>
      <c r="E353" s="86"/>
      <c r="F353" s="104"/>
      <c r="G353" s="104"/>
      <c r="H353" s="104"/>
      <c r="I353" s="8" t="s">
        <v>661</v>
      </c>
      <c r="J353" s="9" t="s">
        <v>22</v>
      </c>
      <c r="K353" s="9">
        <v>16</v>
      </c>
      <c r="L353" s="9">
        <v>18</v>
      </c>
      <c r="M353" s="23">
        <v>20</v>
      </c>
    </row>
    <row r="354" spans="1:13" ht="30.75" thickBot="1" x14ac:dyDescent="0.3">
      <c r="A354" s="10" t="s">
        <v>662</v>
      </c>
      <c r="B354" s="11" t="s">
        <v>663</v>
      </c>
      <c r="C354" s="12" t="s">
        <v>233</v>
      </c>
      <c r="D354" s="11" t="s">
        <v>42</v>
      </c>
      <c r="E354" s="11"/>
      <c r="F354" s="56">
        <v>14</v>
      </c>
      <c r="G354" s="56">
        <v>14</v>
      </c>
      <c r="H354" s="56">
        <v>14</v>
      </c>
      <c r="I354" s="11" t="s">
        <v>664</v>
      </c>
      <c r="J354" s="13" t="s">
        <v>116</v>
      </c>
      <c r="K354" s="13">
        <v>28</v>
      </c>
      <c r="L354" s="13">
        <v>28</v>
      </c>
      <c r="M354" s="24">
        <v>28</v>
      </c>
    </row>
    <row r="355" spans="1:13" ht="30" x14ac:dyDescent="0.25">
      <c r="A355" s="76" t="s">
        <v>665</v>
      </c>
      <c r="B355" s="78" t="s">
        <v>666</v>
      </c>
      <c r="C355" s="79"/>
      <c r="D355" s="79"/>
      <c r="E355" s="80"/>
      <c r="F355" s="121">
        <f>F356+F357+F358+F363+F364+F365+F374+F380</f>
        <v>611.6</v>
      </c>
      <c r="G355" s="121">
        <f>G356+G357+G358+G363+G364+G365+G374+G380</f>
        <v>541.79999999999995</v>
      </c>
      <c r="H355" s="121">
        <f>H356+H357+H358+H363+H364+H365+H374+H380</f>
        <v>565.6</v>
      </c>
      <c r="I355" s="64" t="s">
        <v>667</v>
      </c>
      <c r="J355" s="7" t="s">
        <v>97</v>
      </c>
      <c r="K355" s="21">
        <v>301000</v>
      </c>
      <c r="L355" s="21">
        <v>317000</v>
      </c>
      <c r="M355" s="22">
        <v>334000</v>
      </c>
    </row>
    <row r="356" spans="1:13" x14ac:dyDescent="0.25">
      <c r="A356" s="94"/>
      <c r="B356" s="95"/>
      <c r="C356" s="96"/>
      <c r="D356" s="96"/>
      <c r="E356" s="97"/>
      <c r="F356" s="144"/>
      <c r="G356" s="144"/>
      <c r="H356" s="144"/>
      <c r="I356" s="65" t="s">
        <v>668</v>
      </c>
      <c r="J356" s="34" t="s">
        <v>22</v>
      </c>
      <c r="K356" s="36">
        <v>1400</v>
      </c>
      <c r="L356" s="36">
        <v>1450</v>
      </c>
      <c r="M356" s="37">
        <v>1500</v>
      </c>
    </row>
    <row r="357" spans="1:13" ht="30.75" thickBot="1" x14ac:dyDescent="0.3">
      <c r="A357" s="77"/>
      <c r="B357" s="81"/>
      <c r="C357" s="82"/>
      <c r="D357" s="82"/>
      <c r="E357" s="83"/>
      <c r="F357" s="122"/>
      <c r="G357" s="122"/>
      <c r="H357" s="122"/>
      <c r="I357" s="65" t="s">
        <v>669</v>
      </c>
      <c r="J357" s="34" t="s">
        <v>27</v>
      </c>
      <c r="K357" s="34"/>
      <c r="L357" s="34">
        <v>45</v>
      </c>
      <c r="M357" s="35"/>
    </row>
    <row r="358" spans="1:13" x14ac:dyDescent="0.25">
      <c r="A358" s="70" t="s">
        <v>670</v>
      </c>
      <c r="B358" s="73" t="s">
        <v>671</v>
      </c>
      <c r="C358" s="73" t="s">
        <v>672</v>
      </c>
      <c r="D358" s="11"/>
      <c r="E358" s="11"/>
      <c r="F358" s="52">
        <f>SUM(F359:F362)</f>
        <v>357.6</v>
      </c>
      <c r="G358" s="52">
        <f>SUM(G359:G362)</f>
        <v>365.1</v>
      </c>
      <c r="H358" s="52">
        <f>SUM(H359:H362)</f>
        <v>372.70000000000005</v>
      </c>
      <c r="I358" s="11" t="s">
        <v>673</v>
      </c>
      <c r="J358" s="13" t="s">
        <v>22</v>
      </c>
      <c r="K358" s="13">
        <v>3</v>
      </c>
      <c r="L358" s="13">
        <v>3</v>
      </c>
      <c r="M358" s="24">
        <v>3</v>
      </c>
    </row>
    <row r="359" spans="1:13" ht="30" x14ac:dyDescent="0.25">
      <c r="A359" s="71"/>
      <c r="B359" s="74"/>
      <c r="C359" s="74"/>
      <c r="D359" s="8" t="s">
        <v>108</v>
      </c>
      <c r="E359" s="8"/>
      <c r="F359" s="44">
        <v>38</v>
      </c>
      <c r="G359" s="44">
        <v>38</v>
      </c>
      <c r="H359" s="44">
        <v>38</v>
      </c>
      <c r="I359" s="8" t="s">
        <v>674</v>
      </c>
      <c r="J359" s="9" t="s">
        <v>22</v>
      </c>
      <c r="K359" s="26">
        <v>34000</v>
      </c>
      <c r="L359" s="26">
        <v>34500</v>
      </c>
      <c r="M359" s="27">
        <v>35000</v>
      </c>
    </row>
    <row r="360" spans="1:13" ht="31.5" customHeight="1" x14ac:dyDescent="0.25">
      <c r="A360" s="71"/>
      <c r="B360" s="74"/>
      <c r="C360" s="74"/>
      <c r="D360" s="8" t="s">
        <v>136</v>
      </c>
      <c r="E360" s="8"/>
      <c r="F360" s="44">
        <v>13.1</v>
      </c>
      <c r="G360" s="44">
        <v>13.1</v>
      </c>
      <c r="H360" s="44">
        <v>13.1</v>
      </c>
      <c r="I360" s="98" t="s">
        <v>675</v>
      </c>
      <c r="J360" s="99" t="s">
        <v>22</v>
      </c>
      <c r="K360" s="99">
        <v>1</v>
      </c>
      <c r="L360" s="99">
        <v>1</v>
      </c>
      <c r="M360" s="123">
        <v>1</v>
      </c>
    </row>
    <row r="361" spans="1:13" x14ac:dyDescent="0.25">
      <c r="A361" s="71"/>
      <c r="B361" s="74"/>
      <c r="C361" s="74"/>
      <c r="D361" s="8" t="s">
        <v>42</v>
      </c>
      <c r="E361" s="8"/>
      <c r="F361" s="44">
        <v>301.5</v>
      </c>
      <c r="G361" s="44">
        <v>309</v>
      </c>
      <c r="H361" s="44">
        <v>316.60000000000002</v>
      </c>
      <c r="I361" s="85"/>
      <c r="J361" s="100"/>
      <c r="K361" s="100"/>
      <c r="L361" s="100"/>
      <c r="M361" s="140"/>
    </row>
    <row r="362" spans="1:13" ht="15.75" thickBot="1" x14ac:dyDescent="0.3">
      <c r="A362" s="72"/>
      <c r="B362" s="75"/>
      <c r="C362" s="75"/>
      <c r="D362" s="8" t="s">
        <v>284</v>
      </c>
      <c r="E362" s="8"/>
      <c r="F362" s="44">
        <v>5</v>
      </c>
      <c r="G362" s="44">
        <v>5</v>
      </c>
      <c r="H362" s="44">
        <v>5</v>
      </c>
      <c r="I362" s="86"/>
      <c r="J362" s="101"/>
      <c r="K362" s="101"/>
      <c r="L362" s="101"/>
      <c r="M362" s="124"/>
    </row>
    <row r="363" spans="1:13" ht="90.75" thickBot="1" x14ac:dyDescent="0.3">
      <c r="A363" s="10" t="s">
        <v>676</v>
      </c>
      <c r="B363" s="11" t="s">
        <v>677</v>
      </c>
      <c r="C363" s="12" t="s">
        <v>678</v>
      </c>
      <c r="D363" s="11" t="s">
        <v>42</v>
      </c>
      <c r="E363" s="11"/>
      <c r="F363" s="56">
        <v>35.9</v>
      </c>
      <c r="G363" s="56">
        <v>2.9</v>
      </c>
      <c r="H363" s="56">
        <v>0</v>
      </c>
      <c r="I363" s="11" t="s">
        <v>679</v>
      </c>
      <c r="J363" s="13" t="s">
        <v>27</v>
      </c>
      <c r="K363" s="13">
        <v>95</v>
      </c>
      <c r="L363" s="13">
        <v>100</v>
      </c>
      <c r="M363" s="24"/>
    </row>
    <row r="364" spans="1:13" ht="60.75" thickBot="1" x14ac:dyDescent="0.3">
      <c r="A364" s="10" t="s">
        <v>680</v>
      </c>
      <c r="B364" s="11" t="s">
        <v>681</v>
      </c>
      <c r="C364" s="12" t="s">
        <v>682</v>
      </c>
      <c r="D364" s="11" t="s">
        <v>42</v>
      </c>
      <c r="E364" s="11" t="s">
        <v>519</v>
      </c>
      <c r="F364" s="56">
        <v>3.9</v>
      </c>
      <c r="G364" s="56">
        <v>0</v>
      </c>
      <c r="H364" s="56">
        <v>0</v>
      </c>
      <c r="I364" s="11" t="s">
        <v>683</v>
      </c>
      <c r="J364" s="13" t="s">
        <v>22</v>
      </c>
      <c r="K364" s="13">
        <v>15</v>
      </c>
      <c r="L364" s="13"/>
      <c r="M364" s="24"/>
    </row>
    <row r="365" spans="1:13" ht="45" x14ac:dyDescent="0.25">
      <c r="A365" s="70" t="s">
        <v>684</v>
      </c>
      <c r="B365" s="73" t="s">
        <v>685</v>
      </c>
      <c r="C365" s="73" t="s">
        <v>672</v>
      </c>
      <c r="D365" s="84" t="s">
        <v>42</v>
      </c>
      <c r="E365" s="84"/>
      <c r="F365" s="103">
        <f>SUM(F366:F373)+105</f>
        <v>105</v>
      </c>
      <c r="G365" s="103">
        <f>SUM(G366:G373)+122</f>
        <v>122</v>
      </c>
      <c r="H365" s="103">
        <f>SUM(H366:H373)+137</f>
        <v>137</v>
      </c>
      <c r="I365" s="11" t="s">
        <v>686</v>
      </c>
      <c r="J365" s="13" t="s">
        <v>22</v>
      </c>
      <c r="K365" s="13">
        <v>8</v>
      </c>
      <c r="L365" s="13">
        <v>8</v>
      </c>
      <c r="M365" s="24">
        <v>8</v>
      </c>
    </row>
    <row r="366" spans="1:13" ht="30" x14ac:dyDescent="0.25">
      <c r="A366" s="71"/>
      <c r="B366" s="74"/>
      <c r="C366" s="74"/>
      <c r="D366" s="85"/>
      <c r="E366" s="85"/>
      <c r="F366" s="108"/>
      <c r="G366" s="108"/>
      <c r="H366" s="108"/>
      <c r="I366" s="8" t="s">
        <v>687</v>
      </c>
      <c r="J366" s="9" t="s">
        <v>22</v>
      </c>
      <c r="K366" s="9">
        <v>10</v>
      </c>
      <c r="L366" s="9">
        <v>12</v>
      </c>
      <c r="M366" s="23">
        <v>14</v>
      </c>
    </row>
    <row r="367" spans="1:13" ht="45" x14ac:dyDescent="0.25">
      <c r="A367" s="71"/>
      <c r="B367" s="74"/>
      <c r="C367" s="74"/>
      <c r="D367" s="85"/>
      <c r="E367" s="85"/>
      <c r="F367" s="108"/>
      <c r="G367" s="108"/>
      <c r="H367" s="108"/>
      <c r="I367" s="8" t="s">
        <v>652</v>
      </c>
      <c r="J367" s="9" t="s">
        <v>22</v>
      </c>
      <c r="K367" s="9">
        <v>30</v>
      </c>
      <c r="L367" s="9">
        <v>35</v>
      </c>
      <c r="M367" s="23">
        <v>40</v>
      </c>
    </row>
    <row r="368" spans="1:13" ht="47.25" customHeight="1" x14ac:dyDescent="0.25">
      <c r="A368" s="71"/>
      <c r="B368" s="74"/>
      <c r="C368" s="74"/>
      <c r="D368" s="85"/>
      <c r="E368" s="85"/>
      <c r="F368" s="108"/>
      <c r="G368" s="108"/>
      <c r="H368" s="108"/>
      <c r="I368" s="8" t="s">
        <v>688</v>
      </c>
      <c r="J368" s="9" t="s">
        <v>22</v>
      </c>
      <c r="K368" s="9">
        <v>7</v>
      </c>
      <c r="L368" s="9">
        <v>8</v>
      </c>
      <c r="M368" s="23">
        <v>9</v>
      </c>
    </row>
    <row r="369" spans="1:13" ht="30" x14ac:dyDescent="0.25">
      <c r="A369" s="71"/>
      <c r="B369" s="74"/>
      <c r="C369" s="74"/>
      <c r="D369" s="85"/>
      <c r="E369" s="85"/>
      <c r="F369" s="108"/>
      <c r="G369" s="108"/>
      <c r="H369" s="108"/>
      <c r="I369" s="8" t="s">
        <v>689</v>
      </c>
      <c r="J369" s="9" t="s">
        <v>22</v>
      </c>
      <c r="K369" s="9">
        <v>6</v>
      </c>
      <c r="L369" s="9">
        <v>6</v>
      </c>
      <c r="M369" s="23">
        <v>6</v>
      </c>
    </row>
    <row r="370" spans="1:13" ht="30.75" customHeight="1" x14ac:dyDescent="0.25">
      <c r="A370" s="71"/>
      <c r="B370" s="74"/>
      <c r="C370" s="74"/>
      <c r="D370" s="85"/>
      <c r="E370" s="85"/>
      <c r="F370" s="108"/>
      <c r="G370" s="108"/>
      <c r="H370" s="108"/>
      <c r="I370" s="8" t="s">
        <v>690</v>
      </c>
      <c r="J370" s="9" t="s">
        <v>22</v>
      </c>
      <c r="K370" s="9">
        <v>1</v>
      </c>
      <c r="L370" s="9">
        <v>1</v>
      </c>
      <c r="M370" s="23">
        <v>1</v>
      </c>
    </row>
    <row r="371" spans="1:13" ht="45" x14ac:dyDescent="0.25">
      <c r="A371" s="71"/>
      <c r="B371" s="74"/>
      <c r="C371" s="74"/>
      <c r="D371" s="85"/>
      <c r="E371" s="85"/>
      <c r="F371" s="108"/>
      <c r="G371" s="108"/>
      <c r="H371" s="108"/>
      <c r="I371" s="8" t="s">
        <v>691</v>
      </c>
      <c r="J371" s="9" t="s">
        <v>22</v>
      </c>
      <c r="K371" s="9">
        <v>1</v>
      </c>
      <c r="L371" s="9">
        <v>1</v>
      </c>
      <c r="M371" s="23">
        <v>1</v>
      </c>
    </row>
    <row r="372" spans="1:13" ht="30" x14ac:dyDescent="0.25">
      <c r="A372" s="71"/>
      <c r="B372" s="74"/>
      <c r="C372" s="74"/>
      <c r="D372" s="85"/>
      <c r="E372" s="85"/>
      <c r="F372" s="108"/>
      <c r="G372" s="108"/>
      <c r="H372" s="108"/>
      <c r="I372" s="8" t="s">
        <v>692</v>
      </c>
      <c r="J372" s="9" t="s">
        <v>22</v>
      </c>
      <c r="K372" s="9">
        <v>1</v>
      </c>
      <c r="L372" s="9">
        <v>1</v>
      </c>
      <c r="M372" s="23">
        <v>1</v>
      </c>
    </row>
    <row r="373" spans="1:13" ht="45.75" thickBot="1" x14ac:dyDescent="0.3">
      <c r="A373" s="72"/>
      <c r="B373" s="75"/>
      <c r="C373" s="75"/>
      <c r="D373" s="86"/>
      <c r="E373" s="86"/>
      <c r="F373" s="104"/>
      <c r="G373" s="104"/>
      <c r="H373" s="104"/>
      <c r="I373" s="8" t="s">
        <v>693</v>
      </c>
      <c r="J373" s="9" t="s">
        <v>22</v>
      </c>
      <c r="K373" s="9">
        <v>2</v>
      </c>
      <c r="L373" s="9">
        <v>2</v>
      </c>
      <c r="M373" s="23">
        <v>2</v>
      </c>
    </row>
    <row r="374" spans="1:13" ht="45" x14ac:dyDescent="0.25">
      <c r="A374" s="70" t="s">
        <v>694</v>
      </c>
      <c r="B374" s="73" t="s">
        <v>695</v>
      </c>
      <c r="C374" s="73" t="s">
        <v>672</v>
      </c>
      <c r="D374" s="84" t="s">
        <v>42</v>
      </c>
      <c r="E374" s="84"/>
      <c r="F374" s="103">
        <f>SUM(F375:F379)+64.2</f>
        <v>64.2</v>
      </c>
      <c r="G374" s="103">
        <f>SUM(G375:G379)+51.8</f>
        <v>51.8</v>
      </c>
      <c r="H374" s="103">
        <f>SUM(H375:H379)+55.9</f>
        <v>55.9</v>
      </c>
      <c r="I374" s="11" t="s">
        <v>696</v>
      </c>
      <c r="J374" s="13" t="s">
        <v>22</v>
      </c>
      <c r="K374" s="13">
        <v>1</v>
      </c>
      <c r="L374" s="13">
        <v>1</v>
      </c>
      <c r="M374" s="24">
        <v>1</v>
      </c>
    </row>
    <row r="375" spans="1:13" x14ac:dyDescent="0.25">
      <c r="A375" s="71"/>
      <c r="B375" s="74"/>
      <c r="C375" s="74"/>
      <c r="D375" s="85"/>
      <c r="E375" s="85"/>
      <c r="F375" s="108"/>
      <c r="G375" s="108"/>
      <c r="H375" s="108"/>
      <c r="I375" s="8" t="s">
        <v>697</v>
      </c>
      <c r="J375" s="9" t="s">
        <v>22</v>
      </c>
      <c r="K375" s="9">
        <v>3</v>
      </c>
      <c r="L375" s="9">
        <v>3</v>
      </c>
      <c r="M375" s="23">
        <v>3</v>
      </c>
    </row>
    <row r="376" spans="1:13" x14ac:dyDescent="0.25">
      <c r="A376" s="71"/>
      <c r="B376" s="74"/>
      <c r="C376" s="74"/>
      <c r="D376" s="85"/>
      <c r="E376" s="85"/>
      <c r="F376" s="108"/>
      <c r="G376" s="108"/>
      <c r="H376" s="108"/>
      <c r="I376" s="8" t="s">
        <v>698</v>
      </c>
      <c r="J376" s="9" t="s">
        <v>22</v>
      </c>
      <c r="K376" s="9">
        <v>1</v>
      </c>
      <c r="L376" s="9">
        <v>1</v>
      </c>
      <c r="M376" s="23">
        <v>1</v>
      </c>
    </row>
    <row r="377" spans="1:13" x14ac:dyDescent="0.25">
      <c r="A377" s="71"/>
      <c r="B377" s="74"/>
      <c r="C377" s="74"/>
      <c r="D377" s="85"/>
      <c r="E377" s="85"/>
      <c r="F377" s="108"/>
      <c r="G377" s="108"/>
      <c r="H377" s="108"/>
      <c r="I377" s="8" t="s">
        <v>699</v>
      </c>
      <c r="J377" s="9" t="s">
        <v>27</v>
      </c>
      <c r="K377" s="9">
        <v>40</v>
      </c>
      <c r="L377" s="9">
        <v>70</v>
      </c>
      <c r="M377" s="23">
        <v>100</v>
      </c>
    </row>
    <row r="378" spans="1:13" ht="45" x14ac:dyDescent="0.25">
      <c r="A378" s="71"/>
      <c r="B378" s="74"/>
      <c r="C378" s="74"/>
      <c r="D378" s="85"/>
      <c r="E378" s="85"/>
      <c r="F378" s="108"/>
      <c r="G378" s="108"/>
      <c r="H378" s="108"/>
      <c r="I378" s="8" t="s">
        <v>700</v>
      </c>
      <c r="J378" s="9" t="s">
        <v>22</v>
      </c>
      <c r="K378" s="9">
        <v>1</v>
      </c>
      <c r="L378" s="9"/>
      <c r="M378" s="23"/>
    </row>
    <row r="379" spans="1:13" ht="30.75" thickBot="1" x14ac:dyDescent="0.3">
      <c r="A379" s="72"/>
      <c r="B379" s="75"/>
      <c r="C379" s="75"/>
      <c r="D379" s="86"/>
      <c r="E379" s="86"/>
      <c r="F379" s="104"/>
      <c r="G379" s="104"/>
      <c r="H379" s="104"/>
      <c r="I379" s="8" t="s">
        <v>701</v>
      </c>
      <c r="J379" s="9" t="s">
        <v>22</v>
      </c>
      <c r="K379" s="9"/>
      <c r="L379" s="9">
        <v>1</v>
      </c>
      <c r="M379" s="23"/>
    </row>
    <row r="380" spans="1:13" ht="110.25" customHeight="1" thickBot="1" x14ac:dyDescent="0.3">
      <c r="A380" s="10" t="s">
        <v>702</v>
      </c>
      <c r="B380" s="11" t="s">
        <v>703</v>
      </c>
      <c r="C380" s="12" t="s">
        <v>672</v>
      </c>
      <c r="D380" s="11" t="s">
        <v>42</v>
      </c>
      <c r="E380" s="11"/>
      <c r="F380" s="56">
        <v>45</v>
      </c>
      <c r="G380" s="56">
        <v>0</v>
      </c>
      <c r="H380" s="56">
        <v>0</v>
      </c>
      <c r="I380" s="11" t="s">
        <v>704</v>
      </c>
      <c r="J380" s="13" t="s">
        <v>27</v>
      </c>
      <c r="K380" s="13">
        <v>100</v>
      </c>
      <c r="L380" s="13"/>
      <c r="M380" s="24"/>
    </row>
    <row r="381" spans="1:13" ht="22.5" customHeight="1" x14ac:dyDescent="0.25">
      <c r="A381" s="76" t="s">
        <v>705</v>
      </c>
      <c r="B381" s="78" t="s">
        <v>706</v>
      </c>
      <c r="C381" s="79"/>
      <c r="D381" s="79"/>
      <c r="E381" s="80"/>
      <c r="F381" s="121">
        <f>F382+F383+F384+F385+F388</f>
        <v>53</v>
      </c>
      <c r="G381" s="121">
        <f>G382+G383+G384+G385+G388</f>
        <v>55</v>
      </c>
      <c r="H381" s="121">
        <f>H382+H383+H384+H385+H388</f>
        <v>169</v>
      </c>
      <c r="I381" s="64" t="s">
        <v>707</v>
      </c>
      <c r="J381" s="7" t="s">
        <v>22</v>
      </c>
      <c r="K381" s="21">
        <v>362000</v>
      </c>
      <c r="L381" s="21">
        <v>373000</v>
      </c>
      <c r="M381" s="22">
        <v>384000</v>
      </c>
    </row>
    <row r="382" spans="1:13" ht="30" x14ac:dyDescent="0.25">
      <c r="A382" s="94"/>
      <c r="B382" s="95"/>
      <c r="C382" s="96"/>
      <c r="D382" s="96"/>
      <c r="E382" s="97"/>
      <c r="F382" s="144"/>
      <c r="G382" s="144"/>
      <c r="H382" s="144"/>
      <c r="I382" s="65" t="s">
        <v>708</v>
      </c>
      <c r="J382" s="34" t="s">
        <v>22</v>
      </c>
      <c r="K382" s="36">
        <v>24200</v>
      </c>
      <c r="L382" s="36">
        <v>25700</v>
      </c>
      <c r="M382" s="37">
        <v>27200</v>
      </c>
    </row>
    <row r="383" spans="1:13" ht="30" x14ac:dyDescent="0.25">
      <c r="A383" s="94"/>
      <c r="B383" s="95"/>
      <c r="C383" s="96"/>
      <c r="D383" s="96"/>
      <c r="E383" s="97"/>
      <c r="F383" s="144"/>
      <c r="G383" s="144"/>
      <c r="H383" s="144"/>
      <c r="I383" s="65" t="s">
        <v>709</v>
      </c>
      <c r="J383" s="34" t="s">
        <v>22</v>
      </c>
      <c r="K383" s="34">
        <v>622</v>
      </c>
      <c r="L383" s="34">
        <v>684</v>
      </c>
      <c r="M383" s="35">
        <v>746</v>
      </c>
    </row>
    <row r="384" spans="1:13" ht="45.75" thickBot="1" x14ac:dyDescent="0.3">
      <c r="A384" s="77"/>
      <c r="B384" s="81"/>
      <c r="C384" s="82"/>
      <c r="D384" s="82"/>
      <c r="E384" s="83"/>
      <c r="F384" s="122"/>
      <c r="G384" s="122"/>
      <c r="H384" s="122"/>
      <c r="I384" s="65" t="s">
        <v>710</v>
      </c>
      <c r="J384" s="34" t="s">
        <v>27</v>
      </c>
      <c r="K384" s="34">
        <v>45</v>
      </c>
      <c r="L384" s="34"/>
      <c r="M384" s="35">
        <v>48</v>
      </c>
    </row>
    <row r="385" spans="1:13" ht="45" x14ac:dyDescent="0.25">
      <c r="A385" s="70" t="s">
        <v>711</v>
      </c>
      <c r="B385" s="73" t="s">
        <v>712</v>
      </c>
      <c r="C385" s="73" t="s">
        <v>713</v>
      </c>
      <c r="D385" s="84" t="s">
        <v>42</v>
      </c>
      <c r="E385" s="84"/>
      <c r="F385" s="103">
        <f>SUM(F386:F387)+5</f>
        <v>5</v>
      </c>
      <c r="G385" s="103">
        <f>SUM(G386:G387)+7</f>
        <v>7</v>
      </c>
      <c r="H385" s="103">
        <f>SUM(H386:H387)+9</f>
        <v>9</v>
      </c>
      <c r="I385" s="11" t="s">
        <v>1294</v>
      </c>
      <c r="J385" s="13" t="s">
        <v>22</v>
      </c>
      <c r="K385" s="13">
        <v>3</v>
      </c>
      <c r="L385" s="13">
        <v>4</v>
      </c>
      <c r="M385" s="24">
        <v>5</v>
      </c>
    </row>
    <row r="386" spans="1:13" ht="30" x14ac:dyDescent="0.25">
      <c r="A386" s="71"/>
      <c r="B386" s="74"/>
      <c r="C386" s="74"/>
      <c r="D386" s="85"/>
      <c r="E386" s="85"/>
      <c r="F386" s="108"/>
      <c r="G386" s="108"/>
      <c r="H386" s="108"/>
      <c r="I386" s="8" t="s">
        <v>714</v>
      </c>
      <c r="J386" s="9" t="s">
        <v>22</v>
      </c>
      <c r="K386" s="9"/>
      <c r="L386" s="9">
        <v>1</v>
      </c>
      <c r="M386" s="23">
        <v>1</v>
      </c>
    </row>
    <row r="387" spans="1:13" ht="30.75" thickBot="1" x14ac:dyDescent="0.3">
      <c r="A387" s="72"/>
      <c r="B387" s="75"/>
      <c r="C387" s="75"/>
      <c r="D387" s="86"/>
      <c r="E387" s="86"/>
      <c r="F387" s="104"/>
      <c r="G387" s="104"/>
      <c r="H387" s="104"/>
      <c r="I387" s="8" t="s">
        <v>715</v>
      </c>
      <c r="J387" s="9" t="s">
        <v>22</v>
      </c>
      <c r="K387" s="9"/>
      <c r="L387" s="9">
        <v>1</v>
      </c>
      <c r="M387" s="23">
        <v>1</v>
      </c>
    </row>
    <row r="388" spans="1:13" ht="30" x14ac:dyDescent="0.25">
      <c r="A388" s="70" t="s">
        <v>716</v>
      </c>
      <c r="B388" s="73" t="s">
        <v>717</v>
      </c>
      <c r="C388" s="73" t="s">
        <v>718</v>
      </c>
      <c r="D388" s="84" t="s">
        <v>42</v>
      </c>
      <c r="E388" s="84"/>
      <c r="F388" s="103">
        <f>SUM(F389:F394)+48</f>
        <v>48</v>
      </c>
      <c r="G388" s="103">
        <f>SUM(G389:G394)+48</f>
        <v>48</v>
      </c>
      <c r="H388" s="103">
        <f>SUM(H389:H394)+160</f>
        <v>160</v>
      </c>
      <c r="I388" s="11" t="s">
        <v>719</v>
      </c>
      <c r="J388" s="13" t="s">
        <v>22</v>
      </c>
      <c r="K388" s="13">
        <v>9</v>
      </c>
      <c r="L388" s="13">
        <v>9</v>
      </c>
      <c r="M388" s="24">
        <v>9</v>
      </c>
    </row>
    <row r="389" spans="1:13" x14ac:dyDescent="0.25">
      <c r="A389" s="71"/>
      <c r="B389" s="74"/>
      <c r="C389" s="74"/>
      <c r="D389" s="85"/>
      <c r="E389" s="85"/>
      <c r="F389" s="108"/>
      <c r="G389" s="108"/>
      <c r="H389" s="108"/>
      <c r="I389" s="8" t="s">
        <v>720</v>
      </c>
      <c r="J389" s="9" t="s">
        <v>27</v>
      </c>
      <c r="K389" s="9">
        <v>100</v>
      </c>
      <c r="L389" s="9">
        <v>100</v>
      </c>
      <c r="M389" s="23">
        <v>100</v>
      </c>
    </row>
    <row r="390" spans="1:13" ht="33" customHeight="1" x14ac:dyDescent="0.25">
      <c r="A390" s="71"/>
      <c r="B390" s="74"/>
      <c r="C390" s="74"/>
      <c r="D390" s="85"/>
      <c r="E390" s="85"/>
      <c r="F390" s="108"/>
      <c r="G390" s="108"/>
      <c r="H390" s="108"/>
      <c r="I390" s="8" t="s">
        <v>1293</v>
      </c>
      <c r="J390" s="9" t="s">
        <v>22</v>
      </c>
      <c r="K390" s="9">
        <v>70</v>
      </c>
      <c r="L390" s="9">
        <v>75</v>
      </c>
      <c r="M390" s="23">
        <v>80</v>
      </c>
    </row>
    <row r="391" spans="1:13" x14ac:dyDescent="0.25">
      <c r="A391" s="71"/>
      <c r="B391" s="74"/>
      <c r="C391" s="74"/>
      <c r="D391" s="85"/>
      <c r="E391" s="85"/>
      <c r="F391" s="108"/>
      <c r="G391" s="108"/>
      <c r="H391" s="108"/>
      <c r="I391" s="8" t="s">
        <v>721</v>
      </c>
      <c r="J391" s="9" t="s">
        <v>22</v>
      </c>
      <c r="K391" s="9">
        <v>2</v>
      </c>
      <c r="L391" s="9">
        <v>2</v>
      </c>
      <c r="M391" s="23">
        <v>2</v>
      </c>
    </row>
    <row r="392" spans="1:13" ht="30" x14ac:dyDescent="0.25">
      <c r="A392" s="71"/>
      <c r="B392" s="74"/>
      <c r="C392" s="74"/>
      <c r="D392" s="85"/>
      <c r="E392" s="85"/>
      <c r="F392" s="108"/>
      <c r="G392" s="108"/>
      <c r="H392" s="108"/>
      <c r="I392" s="8" t="s">
        <v>722</v>
      </c>
      <c r="J392" s="9" t="s">
        <v>22</v>
      </c>
      <c r="K392" s="9"/>
      <c r="L392" s="9">
        <v>1</v>
      </c>
      <c r="M392" s="23"/>
    </row>
    <row r="393" spans="1:13" x14ac:dyDescent="0.25">
      <c r="A393" s="71"/>
      <c r="B393" s="74"/>
      <c r="C393" s="74"/>
      <c r="D393" s="85"/>
      <c r="E393" s="85"/>
      <c r="F393" s="108"/>
      <c r="G393" s="108"/>
      <c r="H393" s="108"/>
      <c r="I393" s="8" t="s">
        <v>723</v>
      </c>
      <c r="J393" s="9" t="s">
        <v>22</v>
      </c>
      <c r="K393" s="9"/>
      <c r="L393" s="9"/>
      <c r="M393" s="23">
        <v>1</v>
      </c>
    </row>
    <row r="394" spans="1:13" ht="15.75" thickBot="1" x14ac:dyDescent="0.3">
      <c r="A394" s="72"/>
      <c r="B394" s="75"/>
      <c r="C394" s="75"/>
      <c r="D394" s="86"/>
      <c r="E394" s="86"/>
      <c r="F394" s="104"/>
      <c r="G394" s="104"/>
      <c r="H394" s="104"/>
      <c r="I394" s="8" t="s">
        <v>724</v>
      </c>
      <c r="J394" s="9" t="s">
        <v>22</v>
      </c>
      <c r="K394" s="9"/>
      <c r="L394" s="9"/>
      <c r="M394" s="23">
        <v>1</v>
      </c>
    </row>
    <row r="395" spans="1:13" ht="33.75" customHeight="1" thickBot="1" x14ac:dyDescent="0.3">
      <c r="A395" s="4" t="s">
        <v>725</v>
      </c>
      <c r="B395" s="5" t="s">
        <v>726</v>
      </c>
      <c r="C395" s="91" t="s">
        <v>1284</v>
      </c>
      <c r="D395" s="92"/>
      <c r="E395" s="93"/>
      <c r="F395" s="53">
        <f>F396+F453+F464</f>
        <v>72253.299999999988</v>
      </c>
      <c r="G395" s="53">
        <f>G396+G453+G464</f>
        <v>73304.399999999994</v>
      </c>
      <c r="H395" s="53">
        <f>H396+H453+H464</f>
        <v>75343.199999999983</v>
      </c>
      <c r="I395" s="88"/>
      <c r="J395" s="89"/>
      <c r="K395" s="89"/>
      <c r="L395" s="89"/>
      <c r="M395" s="90"/>
    </row>
    <row r="396" spans="1:13" ht="45.75" thickBot="1" x14ac:dyDescent="0.3">
      <c r="A396" s="6" t="s">
        <v>727</v>
      </c>
      <c r="B396" s="115" t="s">
        <v>728</v>
      </c>
      <c r="C396" s="116"/>
      <c r="D396" s="116"/>
      <c r="E396" s="117"/>
      <c r="F396" s="54">
        <f>F397+F406+F410+F416+F420+F423+F435+F441+F443+F445+F446+F449</f>
        <v>21216.000000000004</v>
      </c>
      <c r="G396" s="54">
        <f>G397+G406+G410+G416+G420+G423+G435+G441+G443+G445+G446+G449</f>
        <v>21858.2</v>
      </c>
      <c r="H396" s="54">
        <f>H397+H406+H410+H416+H420+H423+H435+H441+H443+H445+H446+H449</f>
        <v>23335.1</v>
      </c>
      <c r="I396" s="64" t="s">
        <v>729</v>
      </c>
      <c r="J396" s="7" t="s">
        <v>22</v>
      </c>
      <c r="K396" s="7">
        <v>28</v>
      </c>
      <c r="L396" s="7">
        <v>29</v>
      </c>
      <c r="M396" s="25">
        <v>29</v>
      </c>
    </row>
    <row r="397" spans="1:13" ht="17.25" customHeight="1" x14ac:dyDescent="0.25">
      <c r="A397" s="70" t="s">
        <v>730</v>
      </c>
      <c r="B397" s="73" t="s">
        <v>731</v>
      </c>
      <c r="C397" s="73" t="s">
        <v>732</v>
      </c>
      <c r="D397" s="11"/>
      <c r="E397" s="11"/>
      <c r="F397" s="52">
        <f>SUM(F398:F405)</f>
        <v>10057.700000000001</v>
      </c>
      <c r="G397" s="52">
        <f>SUM(G398:G405)</f>
        <v>10241.699999999999</v>
      </c>
      <c r="H397" s="52">
        <f>SUM(H398:H405)</f>
        <v>10425</v>
      </c>
      <c r="I397" s="11" t="s">
        <v>733</v>
      </c>
      <c r="J397" s="13" t="s">
        <v>22</v>
      </c>
      <c r="K397" s="13">
        <v>25</v>
      </c>
      <c r="L397" s="13">
        <v>25</v>
      </c>
      <c r="M397" s="24">
        <v>25</v>
      </c>
    </row>
    <row r="398" spans="1:13" ht="30" x14ac:dyDescent="0.25">
      <c r="A398" s="71"/>
      <c r="B398" s="74"/>
      <c r="C398" s="74"/>
      <c r="D398" s="8" t="s">
        <v>108</v>
      </c>
      <c r="E398" s="8"/>
      <c r="F398" s="44">
        <v>1001.9</v>
      </c>
      <c r="G398" s="44">
        <v>1006</v>
      </c>
      <c r="H398" s="44">
        <v>1006.2</v>
      </c>
      <c r="I398" s="8" t="s">
        <v>734</v>
      </c>
      <c r="J398" s="9" t="s">
        <v>97</v>
      </c>
      <c r="K398" s="26">
        <v>25000</v>
      </c>
      <c r="L398" s="26">
        <v>25800</v>
      </c>
      <c r="M398" s="27">
        <v>26600</v>
      </c>
    </row>
    <row r="399" spans="1:13" x14ac:dyDescent="0.25">
      <c r="A399" s="71"/>
      <c r="B399" s="74"/>
      <c r="C399" s="74"/>
      <c r="D399" s="8" t="s">
        <v>284</v>
      </c>
      <c r="E399" s="8"/>
      <c r="F399" s="44">
        <v>35.6</v>
      </c>
      <c r="G399" s="44">
        <v>35.6</v>
      </c>
      <c r="H399" s="44">
        <v>35.6</v>
      </c>
      <c r="I399" s="8" t="s">
        <v>735</v>
      </c>
      <c r="J399" s="9" t="s">
        <v>22</v>
      </c>
      <c r="K399" s="9">
        <v>14</v>
      </c>
      <c r="L399" s="9">
        <v>14</v>
      </c>
      <c r="M399" s="23">
        <v>14</v>
      </c>
    </row>
    <row r="400" spans="1:13" x14ac:dyDescent="0.25">
      <c r="A400" s="71"/>
      <c r="B400" s="74"/>
      <c r="C400" s="74"/>
      <c r="D400" s="8" t="s">
        <v>136</v>
      </c>
      <c r="E400" s="8"/>
      <c r="F400" s="44">
        <v>49</v>
      </c>
      <c r="G400" s="44">
        <v>52</v>
      </c>
      <c r="H400" s="44">
        <v>53.5</v>
      </c>
      <c r="I400" s="8" t="s">
        <v>736</v>
      </c>
      <c r="J400" s="9" t="s">
        <v>97</v>
      </c>
      <c r="K400" s="9">
        <v>510</v>
      </c>
      <c r="L400" s="9">
        <v>515</v>
      </c>
      <c r="M400" s="23">
        <v>520</v>
      </c>
    </row>
    <row r="401" spans="1:13" ht="30" x14ac:dyDescent="0.25">
      <c r="A401" s="71"/>
      <c r="B401" s="74"/>
      <c r="C401" s="74"/>
      <c r="D401" s="8" t="s">
        <v>155</v>
      </c>
      <c r="E401" s="8"/>
      <c r="F401" s="44">
        <v>1007.8</v>
      </c>
      <c r="G401" s="44">
        <v>1007.8</v>
      </c>
      <c r="H401" s="44">
        <v>1007.8</v>
      </c>
      <c r="I401" s="8" t="s">
        <v>737</v>
      </c>
      <c r="J401" s="9" t="s">
        <v>22</v>
      </c>
      <c r="K401" s="9">
        <v>6</v>
      </c>
      <c r="L401" s="9">
        <v>6</v>
      </c>
      <c r="M401" s="23">
        <v>6</v>
      </c>
    </row>
    <row r="402" spans="1:13" ht="30" x14ac:dyDescent="0.25">
      <c r="A402" s="71"/>
      <c r="B402" s="74"/>
      <c r="C402" s="74"/>
      <c r="D402" s="8" t="s">
        <v>42</v>
      </c>
      <c r="E402" s="8"/>
      <c r="F402" s="44">
        <v>7576.6</v>
      </c>
      <c r="G402" s="44">
        <v>7753.5</v>
      </c>
      <c r="H402" s="44">
        <v>7935.1</v>
      </c>
      <c r="I402" s="8" t="s">
        <v>738</v>
      </c>
      <c r="J402" s="9" t="s">
        <v>97</v>
      </c>
      <c r="K402" s="9">
        <v>115</v>
      </c>
      <c r="L402" s="9">
        <v>120</v>
      </c>
      <c r="M402" s="23">
        <v>130</v>
      </c>
    </row>
    <row r="403" spans="1:13" x14ac:dyDescent="0.25">
      <c r="A403" s="71"/>
      <c r="B403" s="74"/>
      <c r="C403" s="74"/>
      <c r="D403" s="98" t="s">
        <v>739</v>
      </c>
      <c r="E403" s="98"/>
      <c r="F403" s="118">
        <v>386.8</v>
      </c>
      <c r="G403" s="118">
        <v>386.8</v>
      </c>
      <c r="H403" s="118">
        <v>386.8</v>
      </c>
      <c r="I403" s="8" t="s">
        <v>740</v>
      </c>
      <c r="J403" s="9" t="s">
        <v>22</v>
      </c>
      <c r="K403" s="9">
        <v>5</v>
      </c>
      <c r="L403" s="9">
        <v>5</v>
      </c>
      <c r="M403" s="23">
        <v>5</v>
      </c>
    </row>
    <row r="404" spans="1:13" x14ac:dyDescent="0.25">
      <c r="A404" s="71"/>
      <c r="B404" s="74"/>
      <c r="C404" s="74"/>
      <c r="D404" s="85"/>
      <c r="E404" s="85"/>
      <c r="F404" s="119"/>
      <c r="G404" s="119"/>
      <c r="H404" s="119"/>
      <c r="I404" s="8" t="s">
        <v>741</v>
      </c>
      <c r="J404" s="9" t="s">
        <v>97</v>
      </c>
      <c r="K404" s="9">
        <v>510</v>
      </c>
      <c r="L404" s="9">
        <v>510</v>
      </c>
      <c r="M404" s="23">
        <v>510</v>
      </c>
    </row>
    <row r="405" spans="1:13" ht="15.75" thickBot="1" x14ac:dyDescent="0.3">
      <c r="A405" s="72"/>
      <c r="B405" s="75"/>
      <c r="C405" s="75"/>
      <c r="D405" s="86"/>
      <c r="E405" s="86"/>
      <c r="F405" s="120"/>
      <c r="G405" s="120"/>
      <c r="H405" s="120"/>
      <c r="I405" s="8" t="s">
        <v>742</v>
      </c>
      <c r="J405" s="9" t="s">
        <v>22</v>
      </c>
      <c r="K405" s="9">
        <v>8</v>
      </c>
      <c r="L405" s="9">
        <v>8</v>
      </c>
      <c r="M405" s="23">
        <v>8</v>
      </c>
    </row>
    <row r="406" spans="1:13" ht="43.5" customHeight="1" x14ac:dyDescent="0.25">
      <c r="A406" s="70" t="s">
        <v>743</v>
      </c>
      <c r="B406" s="73" t="s">
        <v>744</v>
      </c>
      <c r="C406" s="73" t="s">
        <v>732</v>
      </c>
      <c r="D406" s="11"/>
      <c r="E406" s="11"/>
      <c r="F406" s="52">
        <f>SUM(F407:F409)</f>
        <v>929.5</v>
      </c>
      <c r="G406" s="52">
        <f>SUM(G407:G409)</f>
        <v>969.3</v>
      </c>
      <c r="H406" s="52">
        <f>SUM(H407:H409)</f>
        <v>1009.2</v>
      </c>
      <c r="I406" s="11" t="s">
        <v>745</v>
      </c>
      <c r="J406" s="13" t="s">
        <v>97</v>
      </c>
      <c r="K406" s="13">
        <v>12</v>
      </c>
      <c r="L406" s="13">
        <v>12</v>
      </c>
      <c r="M406" s="24">
        <v>12</v>
      </c>
    </row>
    <row r="407" spans="1:13" x14ac:dyDescent="0.25">
      <c r="A407" s="71"/>
      <c r="B407" s="74"/>
      <c r="C407" s="74"/>
      <c r="D407" s="8" t="s">
        <v>739</v>
      </c>
      <c r="E407" s="8"/>
      <c r="F407" s="44">
        <v>133</v>
      </c>
      <c r="G407" s="44">
        <v>133</v>
      </c>
      <c r="H407" s="44">
        <v>133</v>
      </c>
      <c r="I407" s="8" t="s">
        <v>746</v>
      </c>
      <c r="J407" s="9" t="s">
        <v>22</v>
      </c>
      <c r="K407" s="9">
        <v>2</v>
      </c>
      <c r="L407" s="9">
        <v>2</v>
      </c>
      <c r="M407" s="23">
        <v>2</v>
      </c>
    </row>
    <row r="408" spans="1:13" x14ac:dyDescent="0.25">
      <c r="A408" s="71"/>
      <c r="B408" s="74"/>
      <c r="C408" s="74"/>
      <c r="D408" s="8" t="s">
        <v>42</v>
      </c>
      <c r="E408" s="8"/>
      <c r="F408" s="44">
        <v>796.5</v>
      </c>
      <c r="G408" s="44">
        <v>836.3</v>
      </c>
      <c r="H408" s="44">
        <v>876.2</v>
      </c>
      <c r="I408" s="8" t="s">
        <v>747</v>
      </c>
      <c r="J408" s="9" t="s">
        <v>97</v>
      </c>
      <c r="K408" s="9">
        <v>25</v>
      </c>
      <c r="L408" s="9">
        <v>28</v>
      </c>
      <c r="M408" s="23">
        <v>30</v>
      </c>
    </row>
    <row r="409" spans="1:13" ht="15.75" thickBot="1" x14ac:dyDescent="0.3">
      <c r="A409" s="72"/>
      <c r="B409" s="75"/>
      <c r="C409" s="75"/>
      <c r="D409" s="8"/>
      <c r="E409" s="8"/>
      <c r="F409" s="44">
        <v>0</v>
      </c>
      <c r="G409" s="44">
        <v>0</v>
      </c>
      <c r="H409" s="44">
        <v>0</v>
      </c>
      <c r="I409" s="8" t="s">
        <v>748</v>
      </c>
      <c r="J409" s="9" t="s">
        <v>97</v>
      </c>
      <c r="K409" s="9">
        <v>150</v>
      </c>
      <c r="L409" s="9">
        <v>153</v>
      </c>
      <c r="M409" s="23">
        <v>155</v>
      </c>
    </row>
    <row r="410" spans="1:13" x14ac:dyDescent="0.25">
      <c r="A410" s="70" t="s">
        <v>749</v>
      </c>
      <c r="B410" s="73" t="s">
        <v>750</v>
      </c>
      <c r="C410" s="73" t="s">
        <v>186</v>
      </c>
      <c r="D410" s="11"/>
      <c r="E410" s="11"/>
      <c r="F410" s="52">
        <f>SUM(F411:F415)</f>
        <v>5856.4</v>
      </c>
      <c r="G410" s="52">
        <f>SUM(G411:G415)</f>
        <v>6230.4</v>
      </c>
      <c r="H410" s="52">
        <f>SUM(H411:H415)</f>
        <v>7169.4</v>
      </c>
      <c r="I410" s="11" t="s">
        <v>751</v>
      </c>
      <c r="J410" s="13" t="s">
        <v>22</v>
      </c>
      <c r="K410" s="13">
        <v>5</v>
      </c>
      <c r="L410" s="13">
        <v>5</v>
      </c>
      <c r="M410" s="24">
        <v>5</v>
      </c>
    </row>
    <row r="411" spans="1:13" x14ac:dyDescent="0.25">
      <c r="A411" s="71"/>
      <c r="B411" s="74"/>
      <c r="C411" s="74"/>
      <c r="D411" s="8" t="s">
        <v>28</v>
      </c>
      <c r="E411" s="8"/>
      <c r="F411" s="44">
        <v>369.4</v>
      </c>
      <c r="G411" s="44">
        <v>369.4</v>
      </c>
      <c r="H411" s="44">
        <v>369.4</v>
      </c>
      <c r="I411" s="8" t="s">
        <v>752</v>
      </c>
      <c r="J411" s="9" t="s">
        <v>97</v>
      </c>
      <c r="K411" s="9">
        <v>67</v>
      </c>
      <c r="L411" s="9">
        <v>97</v>
      </c>
      <c r="M411" s="23">
        <v>126</v>
      </c>
    </row>
    <row r="412" spans="1:13" ht="30" x14ac:dyDescent="0.25">
      <c r="A412" s="71"/>
      <c r="B412" s="74"/>
      <c r="C412" s="74"/>
      <c r="D412" s="8" t="s">
        <v>155</v>
      </c>
      <c r="E412" s="8"/>
      <c r="F412" s="44">
        <v>4500</v>
      </c>
      <c r="G412" s="44">
        <v>4900</v>
      </c>
      <c r="H412" s="44">
        <v>5400</v>
      </c>
      <c r="I412" s="8" t="s">
        <v>753</v>
      </c>
      <c r="J412" s="9" t="s">
        <v>97</v>
      </c>
      <c r="K412" s="9">
        <v>115</v>
      </c>
      <c r="L412" s="9">
        <v>135</v>
      </c>
      <c r="M412" s="23">
        <v>155</v>
      </c>
    </row>
    <row r="413" spans="1:13" ht="30" x14ac:dyDescent="0.25">
      <c r="A413" s="71"/>
      <c r="B413" s="74"/>
      <c r="C413" s="74"/>
      <c r="D413" s="98" t="s">
        <v>42</v>
      </c>
      <c r="E413" s="98"/>
      <c r="F413" s="118">
        <v>987</v>
      </c>
      <c r="G413" s="118">
        <v>961</v>
      </c>
      <c r="H413" s="118">
        <v>1400</v>
      </c>
      <c r="I413" s="8" t="s">
        <v>754</v>
      </c>
      <c r="J413" s="9" t="s">
        <v>97</v>
      </c>
      <c r="K413" s="9">
        <v>350</v>
      </c>
      <c r="L413" s="9">
        <v>360</v>
      </c>
      <c r="M413" s="23">
        <v>370</v>
      </c>
    </row>
    <row r="414" spans="1:13" ht="30" x14ac:dyDescent="0.25">
      <c r="A414" s="71"/>
      <c r="B414" s="74"/>
      <c r="C414" s="74"/>
      <c r="D414" s="85"/>
      <c r="E414" s="85"/>
      <c r="F414" s="119"/>
      <c r="G414" s="119"/>
      <c r="H414" s="119"/>
      <c r="I414" s="8" t="s">
        <v>755</v>
      </c>
      <c r="J414" s="9" t="s">
        <v>97</v>
      </c>
      <c r="K414" s="9">
        <v>106</v>
      </c>
      <c r="L414" s="9">
        <v>110</v>
      </c>
      <c r="M414" s="23">
        <v>115</v>
      </c>
    </row>
    <row r="415" spans="1:13" ht="30.75" thickBot="1" x14ac:dyDescent="0.3">
      <c r="A415" s="72"/>
      <c r="B415" s="75"/>
      <c r="C415" s="75"/>
      <c r="D415" s="86"/>
      <c r="E415" s="86"/>
      <c r="F415" s="120"/>
      <c r="G415" s="120"/>
      <c r="H415" s="120"/>
      <c r="I415" s="8" t="s">
        <v>756</v>
      </c>
      <c r="J415" s="9" t="s">
        <v>97</v>
      </c>
      <c r="K415" s="9">
        <v>500</v>
      </c>
      <c r="L415" s="9">
        <v>520</v>
      </c>
      <c r="M415" s="23">
        <v>530</v>
      </c>
    </row>
    <row r="416" spans="1:13" ht="45" x14ac:dyDescent="0.25">
      <c r="A416" s="70" t="s">
        <v>757</v>
      </c>
      <c r="B416" s="73" t="s">
        <v>758</v>
      </c>
      <c r="C416" s="73" t="s">
        <v>759</v>
      </c>
      <c r="D416" s="11"/>
      <c r="E416" s="11"/>
      <c r="F416" s="52">
        <f>SUM(F417:F419)</f>
        <v>331.4</v>
      </c>
      <c r="G416" s="52">
        <f>SUM(G417:G419)</f>
        <v>347.9</v>
      </c>
      <c r="H416" s="52">
        <f>SUM(H417:H419)</f>
        <v>347.9</v>
      </c>
      <c r="I416" s="11" t="s">
        <v>760</v>
      </c>
      <c r="J416" s="13" t="s">
        <v>27</v>
      </c>
      <c r="K416" s="13">
        <v>13</v>
      </c>
      <c r="L416" s="13">
        <v>14</v>
      </c>
      <c r="M416" s="24">
        <v>15</v>
      </c>
    </row>
    <row r="417" spans="1:13" ht="60" x14ac:dyDescent="0.25">
      <c r="A417" s="71"/>
      <c r="B417" s="74"/>
      <c r="C417" s="74"/>
      <c r="D417" s="8" t="s">
        <v>155</v>
      </c>
      <c r="E417" s="8"/>
      <c r="F417" s="44">
        <v>297.89999999999998</v>
      </c>
      <c r="G417" s="44">
        <v>297.89999999999998</v>
      </c>
      <c r="H417" s="44">
        <v>297.89999999999998</v>
      </c>
      <c r="I417" s="8" t="s">
        <v>761</v>
      </c>
      <c r="J417" s="9" t="s">
        <v>22</v>
      </c>
      <c r="K417" s="26">
        <v>2452</v>
      </c>
      <c r="L417" s="26">
        <v>2480</v>
      </c>
      <c r="M417" s="27">
        <v>2500</v>
      </c>
    </row>
    <row r="418" spans="1:13" ht="45" x14ac:dyDescent="0.25">
      <c r="A418" s="71"/>
      <c r="B418" s="74"/>
      <c r="C418" s="74"/>
      <c r="D418" s="98" t="s">
        <v>42</v>
      </c>
      <c r="E418" s="98"/>
      <c r="F418" s="118">
        <v>33.5</v>
      </c>
      <c r="G418" s="118">
        <v>50</v>
      </c>
      <c r="H418" s="118">
        <v>50</v>
      </c>
      <c r="I418" s="8" t="s">
        <v>762</v>
      </c>
      <c r="J418" s="9" t="s">
        <v>97</v>
      </c>
      <c r="K418" s="9">
        <v>15</v>
      </c>
      <c r="L418" s="9">
        <v>20</v>
      </c>
      <c r="M418" s="23">
        <v>20</v>
      </c>
    </row>
    <row r="419" spans="1:13" ht="30.75" thickBot="1" x14ac:dyDescent="0.3">
      <c r="A419" s="72"/>
      <c r="B419" s="75"/>
      <c r="C419" s="75"/>
      <c r="D419" s="86"/>
      <c r="E419" s="86"/>
      <c r="F419" s="120"/>
      <c r="G419" s="120"/>
      <c r="H419" s="120"/>
      <c r="I419" s="8" t="s">
        <v>763</v>
      </c>
      <c r="J419" s="9" t="s">
        <v>97</v>
      </c>
      <c r="K419" s="9">
        <v>30</v>
      </c>
      <c r="L419" s="9">
        <v>40</v>
      </c>
      <c r="M419" s="23">
        <v>50</v>
      </c>
    </row>
    <row r="420" spans="1:13" ht="30" customHeight="1" x14ac:dyDescent="0.25">
      <c r="A420" s="70" t="s">
        <v>764</v>
      </c>
      <c r="B420" s="73" t="s">
        <v>765</v>
      </c>
      <c r="C420" s="73" t="s">
        <v>766</v>
      </c>
      <c r="D420" s="11"/>
      <c r="E420" s="66"/>
      <c r="F420" s="52">
        <f>SUM(F421:F422)</f>
        <v>407.9</v>
      </c>
      <c r="G420" s="52">
        <f>SUM(G421:G422)</f>
        <v>476.2</v>
      </c>
      <c r="H420" s="52">
        <f>SUM(H421:H422)</f>
        <v>476.2</v>
      </c>
      <c r="I420" s="84" t="s">
        <v>767</v>
      </c>
      <c r="J420" s="102" t="s">
        <v>27</v>
      </c>
      <c r="K420" s="102">
        <v>75</v>
      </c>
      <c r="L420" s="102">
        <v>80</v>
      </c>
      <c r="M420" s="139">
        <v>80</v>
      </c>
    </row>
    <row r="421" spans="1:13" x14ac:dyDescent="0.25">
      <c r="A421" s="71"/>
      <c r="B421" s="74"/>
      <c r="C421" s="74"/>
      <c r="D421" s="8" t="s">
        <v>42</v>
      </c>
      <c r="E421" s="8"/>
      <c r="F421" s="44">
        <v>121</v>
      </c>
      <c r="G421" s="44">
        <v>185</v>
      </c>
      <c r="H421" s="44">
        <v>185</v>
      </c>
      <c r="I421" s="85"/>
      <c r="J421" s="100"/>
      <c r="K421" s="100"/>
      <c r="L421" s="100"/>
      <c r="M421" s="140"/>
    </row>
    <row r="422" spans="1:13" ht="15.75" thickBot="1" x14ac:dyDescent="0.3">
      <c r="A422" s="72"/>
      <c r="B422" s="75"/>
      <c r="C422" s="75"/>
      <c r="D422" s="8" t="s">
        <v>28</v>
      </c>
      <c r="E422" s="8"/>
      <c r="F422" s="44">
        <v>286.89999999999998</v>
      </c>
      <c r="G422" s="44">
        <v>291.2</v>
      </c>
      <c r="H422" s="44">
        <v>291.2</v>
      </c>
      <c r="I422" s="86"/>
      <c r="J422" s="101"/>
      <c r="K422" s="101"/>
      <c r="L422" s="101"/>
      <c r="M422" s="124"/>
    </row>
    <row r="423" spans="1:13" x14ac:dyDescent="0.25">
      <c r="A423" s="70" t="s">
        <v>768</v>
      </c>
      <c r="B423" s="73" t="s">
        <v>769</v>
      </c>
      <c r="C423" s="73" t="s">
        <v>186</v>
      </c>
      <c r="D423" s="11"/>
      <c r="E423" s="11"/>
      <c r="F423" s="52">
        <f>SUM(F424:F434)</f>
        <v>1843.4</v>
      </c>
      <c r="G423" s="52">
        <f>SUM(G424:G434)</f>
        <v>1843.4</v>
      </c>
      <c r="H423" s="52">
        <f>SUM(H424:H434)</f>
        <v>2063.3000000000002</v>
      </c>
      <c r="I423" s="11" t="s">
        <v>751</v>
      </c>
      <c r="J423" s="13" t="s">
        <v>22</v>
      </c>
      <c r="K423" s="13">
        <v>11</v>
      </c>
      <c r="L423" s="13">
        <v>11</v>
      </c>
      <c r="M423" s="24">
        <v>11</v>
      </c>
    </row>
    <row r="424" spans="1:13" ht="30" x14ac:dyDescent="0.25">
      <c r="A424" s="71"/>
      <c r="B424" s="74"/>
      <c r="C424" s="74"/>
      <c r="D424" s="8" t="s">
        <v>28</v>
      </c>
      <c r="E424" s="8"/>
      <c r="F424" s="44">
        <v>723</v>
      </c>
      <c r="G424" s="44">
        <v>723</v>
      </c>
      <c r="H424" s="44">
        <v>723</v>
      </c>
      <c r="I424" s="8" t="s">
        <v>770</v>
      </c>
      <c r="J424" s="9" t="s">
        <v>27</v>
      </c>
      <c r="K424" s="9">
        <v>100</v>
      </c>
      <c r="L424" s="9">
        <v>100</v>
      </c>
      <c r="M424" s="23">
        <v>100</v>
      </c>
    </row>
    <row r="425" spans="1:13" ht="30" x14ac:dyDescent="0.25">
      <c r="A425" s="71"/>
      <c r="B425" s="74"/>
      <c r="C425" s="74"/>
      <c r="D425" s="8" t="s">
        <v>155</v>
      </c>
      <c r="E425" s="8"/>
      <c r="F425" s="44">
        <v>345.9</v>
      </c>
      <c r="G425" s="44">
        <v>345.9</v>
      </c>
      <c r="H425" s="44">
        <v>345.9</v>
      </c>
      <c r="I425" s="8" t="s">
        <v>771</v>
      </c>
      <c r="J425" s="9" t="s">
        <v>27</v>
      </c>
      <c r="K425" s="9">
        <v>100</v>
      </c>
      <c r="L425" s="9">
        <v>100</v>
      </c>
      <c r="M425" s="23">
        <v>100</v>
      </c>
    </row>
    <row r="426" spans="1:13" ht="30" x14ac:dyDescent="0.25">
      <c r="A426" s="71"/>
      <c r="B426" s="74"/>
      <c r="C426" s="74"/>
      <c r="D426" s="98" t="s">
        <v>42</v>
      </c>
      <c r="E426" s="98"/>
      <c r="F426" s="118">
        <v>774.5</v>
      </c>
      <c r="G426" s="118">
        <v>774.5</v>
      </c>
      <c r="H426" s="118">
        <v>994.4</v>
      </c>
      <c r="I426" s="8" t="s">
        <v>772</v>
      </c>
      <c r="J426" s="9" t="s">
        <v>27</v>
      </c>
      <c r="K426" s="9">
        <v>100</v>
      </c>
      <c r="L426" s="9">
        <v>100</v>
      </c>
      <c r="M426" s="23">
        <v>100</v>
      </c>
    </row>
    <row r="427" spans="1:13" ht="30" x14ac:dyDescent="0.25">
      <c r="A427" s="71"/>
      <c r="B427" s="74"/>
      <c r="C427" s="74"/>
      <c r="D427" s="85"/>
      <c r="E427" s="85"/>
      <c r="F427" s="119"/>
      <c r="G427" s="119"/>
      <c r="H427" s="119"/>
      <c r="I427" s="8" t="s">
        <v>773</v>
      </c>
      <c r="J427" s="9" t="s">
        <v>27</v>
      </c>
      <c r="K427" s="9">
        <v>75</v>
      </c>
      <c r="L427" s="9">
        <v>80</v>
      </c>
      <c r="M427" s="23">
        <v>85</v>
      </c>
    </row>
    <row r="428" spans="1:13" ht="45" x14ac:dyDescent="0.25">
      <c r="A428" s="71"/>
      <c r="B428" s="74"/>
      <c r="C428" s="74"/>
      <c r="D428" s="85"/>
      <c r="E428" s="85"/>
      <c r="F428" s="119"/>
      <c r="G428" s="119"/>
      <c r="H428" s="119"/>
      <c r="I428" s="8" t="s">
        <v>774</v>
      </c>
      <c r="J428" s="9" t="s">
        <v>97</v>
      </c>
      <c r="K428" s="9">
        <v>47</v>
      </c>
      <c r="L428" s="9">
        <v>50</v>
      </c>
      <c r="M428" s="23">
        <v>55</v>
      </c>
    </row>
    <row r="429" spans="1:13" ht="45" x14ac:dyDescent="0.25">
      <c r="A429" s="71"/>
      <c r="B429" s="74"/>
      <c r="C429" s="74"/>
      <c r="D429" s="85"/>
      <c r="E429" s="85"/>
      <c r="F429" s="119"/>
      <c r="G429" s="119"/>
      <c r="H429" s="119"/>
      <c r="I429" s="8" t="s">
        <v>775</v>
      </c>
      <c r="J429" s="9" t="s">
        <v>27</v>
      </c>
      <c r="K429" s="9">
        <v>100</v>
      </c>
      <c r="L429" s="9">
        <v>100</v>
      </c>
      <c r="M429" s="23">
        <v>100</v>
      </c>
    </row>
    <row r="430" spans="1:13" ht="30" x14ac:dyDescent="0.25">
      <c r="A430" s="71"/>
      <c r="B430" s="74"/>
      <c r="C430" s="74"/>
      <c r="D430" s="85"/>
      <c r="E430" s="85"/>
      <c r="F430" s="119"/>
      <c r="G430" s="119"/>
      <c r="H430" s="119"/>
      <c r="I430" s="8" t="s">
        <v>776</v>
      </c>
      <c r="J430" s="9" t="s">
        <v>27</v>
      </c>
      <c r="K430" s="9">
        <v>100</v>
      </c>
      <c r="L430" s="9">
        <v>100</v>
      </c>
      <c r="M430" s="23">
        <v>100</v>
      </c>
    </row>
    <row r="431" spans="1:13" ht="30" x14ac:dyDescent="0.25">
      <c r="A431" s="71"/>
      <c r="B431" s="74"/>
      <c r="C431" s="74"/>
      <c r="D431" s="85"/>
      <c r="E431" s="85"/>
      <c r="F431" s="119"/>
      <c r="G431" s="119"/>
      <c r="H431" s="119"/>
      <c r="I431" s="8" t="s">
        <v>777</v>
      </c>
      <c r="J431" s="9" t="s">
        <v>97</v>
      </c>
      <c r="K431" s="9">
        <v>290</v>
      </c>
      <c r="L431" s="9">
        <v>300</v>
      </c>
      <c r="M431" s="23">
        <v>310</v>
      </c>
    </row>
    <row r="432" spans="1:13" ht="30" x14ac:dyDescent="0.25">
      <c r="A432" s="71"/>
      <c r="B432" s="74"/>
      <c r="C432" s="74"/>
      <c r="D432" s="85"/>
      <c r="E432" s="85"/>
      <c r="F432" s="119"/>
      <c r="G432" s="119"/>
      <c r="H432" s="119"/>
      <c r="I432" s="8" t="s">
        <v>778</v>
      </c>
      <c r="J432" s="9" t="s">
        <v>27</v>
      </c>
      <c r="K432" s="9">
        <v>15</v>
      </c>
      <c r="L432" s="9">
        <v>16</v>
      </c>
      <c r="M432" s="23">
        <v>17</v>
      </c>
    </row>
    <row r="433" spans="1:13" ht="30" x14ac:dyDescent="0.25">
      <c r="A433" s="71"/>
      <c r="B433" s="74"/>
      <c r="C433" s="74"/>
      <c r="D433" s="85"/>
      <c r="E433" s="85"/>
      <c r="F433" s="119"/>
      <c r="G433" s="119"/>
      <c r="H433" s="119"/>
      <c r="I433" s="8" t="s">
        <v>779</v>
      </c>
      <c r="J433" s="9" t="s">
        <v>97</v>
      </c>
      <c r="K433" s="9">
        <v>22</v>
      </c>
      <c r="L433" s="9">
        <v>17</v>
      </c>
      <c r="M433" s="23">
        <v>18</v>
      </c>
    </row>
    <row r="434" spans="1:13" ht="32.25" customHeight="1" thickBot="1" x14ac:dyDescent="0.3">
      <c r="A434" s="72"/>
      <c r="B434" s="75"/>
      <c r="C434" s="75"/>
      <c r="D434" s="86"/>
      <c r="E434" s="86"/>
      <c r="F434" s="120"/>
      <c r="G434" s="120"/>
      <c r="H434" s="120"/>
      <c r="I434" s="8" t="s">
        <v>780</v>
      </c>
      <c r="J434" s="9" t="s">
        <v>22</v>
      </c>
      <c r="K434" s="9">
        <v>11</v>
      </c>
      <c r="L434" s="9">
        <v>13</v>
      </c>
      <c r="M434" s="23">
        <v>15</v>
      </c>
    </row>
    <row r="435" spans="1:13" x14ac:dyDescent="0.25">
      <c r="A435" s="70" t="s">
        <v>781</v>
      </c>
      <c r="B435" s="73" t="s">
        <v>782</v>
      </c>
      <c r="C435" s="73" t="s">
        <v>186</v>
      </c>
      <c r="D435" s="84" t="s">
        <v>42</v>
      </c>
      <c r="E435" s="84"/>
      <c r="F435" s="103">
        <f>SUM(F436:F440)+1312.7</f>
        <v>1312.7</v>
      </c>
      <c r="G435" s="103">
        <f>SUM(G436:G440)+1325.8</f>
        <v>1325.8</v>
      </c>
      <c r="H435" s="103">
        <f>SUM(H436:H440)+1450</f>
        <v>1450</v>
      </c>
      <c r="I435" s="11" t="s">
        <v>783</v>
      </c>
      <c r="J435" s="13" t="s">
        <v>22</v>
      </c>
      <c r="K435" s="13">
        <v>165</v>
      </c>
      <c r="L435" s="13">
        <v>170</v>
      </c>
      <c r="M435" s="24">
        <v>170</v>
      </c>
    </row>
    <row r="436" spans="1:13" x14ac:dyDescent="0.25">
      <c r="A436" s="71"/>
      <c r="B436" s="74"/>
      <c r="C436" s="74"/>
      <c r="D436" s="85"/>
      <c r="E436" s="85"/>
      <c r="F436" s="108"/>
      <c r="G436" s="108"/>
      <c r="H436" s="108"/>
      <c r="I436" s="8" t="s">
        <v>784</v>
      </c>
      <c r="J436" s="9" t="s">
        <v>22</v>
      </c>
      <c r="K436" s="9">
        <v>220</v>
      </c>
      <c r="L436" s="9">
        <v>220</v>
      </c>
      <c r="M436" s="23">
        <v>220</v>
      </c>
    </row>
    <row r="437" spans="1:13" x14ac:dyDescent="0.25">
      <c r="A437" s="71"/>
      <c r="B437" s="74"/>
      <c r="C437" s="74"/>
      <c r="D437" s="85"/>
      <c r="E437" s="85"/>
      <c r="F437" s="108"/>
      <c r="G437" s="108"/>
      <c r="H437" s="108"/>
      <c r="I437" s="8" t="s">
        <v>785</v>
      </c>
      <c r="J437" s="9" t="s">
        <v>22</v>
      </c>
      <c r="K437" s="9">
        <v>5</v>
      </c>
      <c r="L437" s="9">
        <v>5</v>
      </c>
      <c r="M437" s="23">
        <v>5</v>
      </c>
    </row>
    <row r="438" spans="1:13" x14ac:dyDescent="0.25">
      <c r="A438" s="71"/>
      <c r="B438" s="74"/>
      <c r="C438" s="74"/>
      <c r="D438" s="85"/>
      <c r="E438" s="85"/>
      <c r="F438" s="108"/>
      <c r="G438" s="108"/>
      <c r="H438" s="108"/>
      <c r="I438" s="8" t="s">
        <v>784</v>
      </c>
      <c r="J438" s="9" t="s">
        <v>22</v>
      </c>
      <c r="K438" s="9">
        <v>25</v>
      </c>
      <c r="L438" s="9">
        <v>25</v>
      </c>
      <c r="M438" s="23">
        <v>25</v>
      </c>
    </row>
    <row r="439" spans="1:13" ht="30" x14ac:dyDescent="0.25">
      <c r="A439" s="71"/>
      <c r="B439" s="74"/>
      <c r="C439" s="74"/>
      <c r="D439" s="85"/>
      <c r="E439" s="85"/>
      <c r="F439" s="108"/>
      <c r="G439" s="108"/>
      <c r="H439" s="108"/>
      <c r="I439" s="8" t="s">
        <v>786</v>
      </c>
      <c r="J439" s="9" t="s">
        <v>97</v>
      </c>
      <c r="K439" s="9">
        <v>25</v>
      </c>
      <c r="L439" s="9">
        <v>25</v>
      </c>
      <c r="M439" s="23">
        <v>25</v>
      </c>
    </row>
    <row r="440" spans="1:13" ht="46.5" customHeight="1" thickBot="1" x14ac:dyDescent="0.3">
      <c r="A440" s="72"/>
      <c r="B440" s="75"/>
      <c r="C440" s="75"/>
      <c r="D440" s="86"/>
      <c r="E440" s="86"/>
      <c r="F440" s="104"/>
      <c r="G440" s="104"/>
      <c r="H440" s="104"/>
      <c r="I440" s="8" t="s">
        <v>787</v>
      </c>
      <c r="J440" s="9" t="s">
        <v>97</v>
      </c>
      <c r="K440" s="9">
        <v>4</v>
      </c>
      <c r="L440" s="9">
        <v>6</v>
      </c>
      <c r="M440" s="23">
        <v>8</v>
      </c>
    </row>
    <row r="441" spans="1:13" x14ac:dyDescent="0.25">
      <c r="A441" s="70" t="s">
        <v>788</v>
      </c>
      <c r="B441" s="73" t="s">
        <v>789</v>
      </c>
      <c r="C441" s="73" t="s">
        <v>790</v>
      </c>
      <c r="D441" s="84" t="s">
        <v>42</v>
      </c>
      <c r="E441" s="84"/>
      <c r="F441" s="103">
        <f>SUM(F442:F442)+175</f>
        <v>175</v>
      </c>
      <c r="G441" s="103">
        <f>SUM(G442:G442)+175</f>
        <v>175</v>
      </c>
      <c r="H441" s="103">
        <f>SUM(H442:H442)+175</f>
        <v>175</v>
      </c>
      <c r="I441" s="11" t="s">
        <v>791</v>
      </c>
      <c r="J441" s="13" t="s">
        <v>22</v>
      </c>
      <c r="K441" s="13">
        <v>700</v>
      </c>
      <c r="L441" s="13">
        <v>700</v>
      </c>
      <c r="M441" s="24">
        <v>700</v>
      </c>
    </row>
    <row r="442" spans="1:13" ht="30.75" thickBot="1" x14ac:dyDescent="0.3">
      <c r="A442" s="72"/>
      <c r="B442" s="75"/>
      <c r="C442" s="75"/>
      <c r="D442" s="86"/>
      <c r="E442" s="86"/>
      <c r="F442" s="104"/>
      <c r="G442" s="104"/>
      <c r="H442" s="104"/>
      <c r="I442" s="8" t="s">
        <v>792</v>
      </c>
      <c r="J442" s="9" t="s">
        <v>27</v>
      </c>
      <c r="K442" s="9">
        <v>100</v>
      </c>
      <c r="L442" s="9">
        <v>100</v>
      </c>
      <c r="M442" s="23">
        <v>100</v>
      </c>
    </row>
    <row r="443" spans="1:13" x14ac:dyDescent="0.25">
      <c r="A443" s="70" t="s">
        <v>793</v>
      </c>
      <c r="B443" s="73" t="s">
        <v>794</v>
      </c>
      <c r="C443" s="73" t="s">
        <v>186</v>
      </c>
      <c r="D443" s="84" t="s">
        <v>28</v>
      </c>
      <c r="E443" s="84"/>
      <c r="F443" s="103">
        <f>SUM(F444:F444)+50</f>
        <v>50</v>
      </c>
      <c r="G443" s="103">
        <f>SUM(G444:G444)+50</f>
        <v>50</v>
      </c>
      <c r="H443" s="103">
        <f>SUM(H444:H444)+50</f>
        <v>50</v>
      </c>
      <c r="I443" s="11" t="s">
        <v>795</v>
      </c>
      <c r="J443" s="13" t="s">
        <v>97</v>
      </c>
      <c r="K443" s="30">
        <v>1000</v>
      </c>
      <c r="L443" s="30">
        <v>1100</v>
      </c>
      <c r="M443" s="31">
        <v>1200</v>
      </c>
    </row>
    <row r="444" spans="1:13" ht="30.75" customHeight="1" thickBot="1" x14ac:dyDescent="0.3">
      <c r="A444" s="72"/>
      <c r="B444" s="75"/>
      <c r="C444" s="75"/>
      <c r="D444" s="86"/>
      <c r="E444" s="86"/>
      <c r="F444" s="104"/>
      <c r="G444" s="104"/>
      <c r="H444" s="104"/>
      <c r="I444" s="8" t="s">
        <v>796</v>
      </c>
      <c r="J444" s="9" t="s">
        <v>97</v>
      </c>
      <c r="K444" s="9">
        <v>2</v>
      </c>
      <c r="L444" s="9">
        <v>2</v>
      </c>
      <c r="M444" s="23">
        <v>2</v>
      </c>
    </row>
    <row r="445" spans="1:13" ht="60.75" thickBot="1" x14ac:dyDescent="0.3">
      <c r="A445" s="10" t="s">
        <v>797</v>
      </c>
      <c r="B445" s="11" t="s">
        <v>798</v>
      </c>
      <c r="C445" s="12" t="s">
        <v>186</v>
      </c>
      <c r="D445" s="11" t="s">
        <v>42</v>
      </c>
      <c r="E445" s="11"/>
      <c r="F445" s="56">
        <v>82.9</v>
      </c>
      <c r="G445" s="56">
        <v>29.4</v>
      </c>
      <c r="H445" s="56">
        <v>0</v>
      </c>
      <c r="I445" s="11" t="s">
        <v>799</v>
      </c>
      <c r="J445" s="13" t="s">
        <v>22</v>
      </c>
      <c r="K445" s="13">
        <v>1</v>
      </c>
      <c r="L445" s="13">
        <v>1</v>
      </c>
      <c r="M445" s="24"/>
    </row>
    <row r="446" spans="1:13" x14ac:dyDescent="0.25">
      <c r="A446" s="70" t="s">
        <v>800</v>
      </c>
      <c r="B446" s="73" t="s">
        <v>801</v>
      </c>
      <c r="C446" s="73" t="s">
        <v>759</v>
      </c>
      <c r="D446" s="11"/>
      <c r="E446" s="11"/>
      <c r="F446" s="52">
        <f>SUM(F447:F448)</f>
        <v>56.300000000000004</v>
      </c>
      <c r="G446" s="52">
        <f>SUM(G447:G448)</f>
        <v>56.300000000000004</v>
      </c>
      <c r="H446" s="52">
        <f>SUM(H447:H448)</f>
        <v>56.300000000000004</v>
      </c>
      <c r="I446" s="84" t="s">
        <v>802</v>
      </c>
      <c r="J446" s="102" t="s">
        <v>22</v>
      </c>
      <c r="K446" s="109">
        <v>6200</v>
      </c>
      <c r="L446" s="109">
        <v>6300</v>
      </c>
      <c r="M446" s="112">
        <v>6300</v>
      </c>
    </row>
    <row r="447" spans="1:13" x14ac:dyDescent="0.25">
      <c r="A447" s="71"/>
      <c r="B447" s="74"/>
      <c r="C447" s="74"/>
      <c r="D447" s="8" t="s">
        <v>30</v>
      </c>
      <c r="E447" s="8"/>
      <c r="F447" s="44">
        <v>50.7</v>
      </c>
      <c r="G447" s="44">
        <v>50.7</v>
      </c>
      <c r="H447" s="44">
        <v>50.7</v>
      </c>
      <c r="I447" s="85"/>
      <c r="J447" s="100"/>
      <c r="K447" s="110"/>
      <c r="L447" s="110"/>
      <c r="M447" s="113"/>
    </row>
    <row r="448" spans="1:13" ht="15.75" thickBot="1" x14ac:dyDescent="0.3">
      <c r="A448" s="72"/>
      <c r="B448" s="75"/>
      <c r="C448" s="75"/>
      <c r="D448" s="8" t="s">
        <v>28</v>
      </c>
      <c r="E448" s="8"/>
      <c r="F448" s="44">
        <v>5.6</v>
      </c>
      <c r="G448" s="44">
        <v>5.6</v>
      </c>
      <c r="H448" s="44">
        <v>5.6</v>
      </c>
      <c r="I448" s="86"/>
      <c r="J448" s="101"/>
      <c r="K448" s="111"/>
      <c r="L448" s="111"/>
      <c r="M448" s="114"/>
    </row>
    <row r="449" spans="1:13" ht="47.25" customHeight="1" x14ac:dyDescent="0.25">
      <c r="A449" s="70" t="s">
        <v>803</v>
      </c>
      <c r="B449" s="73" t="s">
        <v>804</v>
      </c>
      <c r="C449" s="73" t="s">
        <v>805</v>
      </c>
      <c r="D449" s="11"/>
      <c r="E449" s="11"/>
      <c r="F449" s="52">
        <f>SUM(F450:F452)</f>
        <v>112.8</v>
      </c>
      <c r="G449" s="52">
        <f>SUM(G450:G452)</f>
        <v>112.8</v>
      </c>
      <c r="H449" s="52">
        <f>SUM(H450:H452)</f>
        <v>112.8</v>
      </c>
      <c r="I449" s="11" t="s">
        <v>806</v>
      </c>
      <c r="J449" s="13" t="s">
        <v>22</v>
      </c>
      <c r="K449" s="13">
        <v>40</v>
      </c>
      <c r="L449" s="13">
        <v>40</v>
      </c>
      <c r="M449" s="24">
        <v>40</v>
      </c>
    </row>
    <row r="450" spans="1:13" x14ac:dyDescent="0.25">
      <c r="A450" s="71"/>
      <c r="B450" s="74"/>
      <c r="C450" s="74"/>
      <c r="D450" s="8" t="s">
        <v>42</v>
      </c>
      <c r="E450" s="8"/>
      <c r="F450" s="44">
        <v>40.799999999999997</v>
      </c>
      <c r="G450" s="44">
        <v>40.799999999999997</v>
      </c>
      <c r="H450" s="44">
        <v>40.799999999999997</v>
      </c>
      <c r="I450" s="8" t="s">
        <v>807</v>
      </c>
      <c r="J450" s="9" t="s">
        <v>22</v>
      </c>
      <c r="K450" s="9">
        <v>120</v>
      </c>
      <c r="L450" s="9">
        <v>120</v>
      </c>
      <c r="M450" s="23">
        <v>120</v>
      </c>
    </row>
    <row r="451" spans="1:13" ht="30" x14ac:dyDescent="0.25">
      <c r="A451" s="71"/>
      <c r="B451" s="74"/>
      <c r="C451" s="74"/>
      <c r="D451" s="8" t="s">
        <v>28</v>
      </c>
      <c r="E451" s="8"/>
      <c r="F451" s="44">
        <v>10.7</v>
      </c>
      <c r="G451" s="44">
        <v>10.7</v>
      </c>
      <c r="H451" s="44">
        <v>10.7</v>
      </c>
      <c r="I451" s="8" t="s">
        <v>808</v>
      </c>
      <c r="J451" s="9" t="s">
        <v>22</v>
      </c>
      <c r="K451" s="9">
        <v>2</v>
      </c>
      <c r="L451" s="9">
        <v>2</v>
      </c>
      <c r="M451" s="23">
        <v>2</v>
      </c>
    </row>
    <row r="452" spans="1:13" ht="30.75" thickBot="1" x14ac:dyDescent="0.3">
      <c r="A452" s="72"/>
      <c r="B452" s="75"/>
      <c r="C452" s="75"/>
      <c r="D452" s="8" t="s">
        <v>30</v>
      </c>
      <c r="E452" s="8"/>
      <c r="F452" s="44">
        <v>61.3</v>
      </c>
      <c r="G452" s="44">
        <v>61.3</v>
      </c>
      <c r="H452" s="44">
        <v>61.3</v>
      </c>
      <c r="I452" s="8" t="s">
        <v>809</v>
      </c>
      <c r="J452" s="9" t="s">
        <v>97</v>
      </c>
      <c r="K452" s="9">
        <v>12</v>
      </c>
      <c r="L452" s="9">
        <v>12</v>
      </c>
      <c r="M452" s="23">
        <v>12</v>
      </c>
    </row>
    <row r="453" spans="1:13" x14ac:dyDescent="0.25">
      <c r="A453" s="76" t="s">
        <v>810</v>
      </c>
      <c r="B453" s="78" t="s">
        <v>811</v>
      </c>
      <c r="C453" s="79"/>
      <c r="D453" s="79"/>
      <c r="E453" s="80"/>
      <c r="F453" s="121">
        <f>F454+F455+F456+F459+F461</f>
        <v>1010.2</v>
      </c>
      <c r="G453" s="121">
        <f>G454+G455+G456+G459+G461</f>
        <v>1619.1000000000001</v>
      </c>
      <c r="H453" s="121">
        <f>H454+H455+H456+H459+H461</f>
        <v>2181</v>
      </c>
      <c r="I453" s="64" t="s">
        <v>812</v>
      </c>
      <c r="J453" s="7" t="s">
        <v>22</v>
      </c>
      <c r="K453" s="7">
        <v>13</v>
      </c>
      <c r="L453" s="7">
        <v>13</v>
      </c>
      <c r="M453" s="25">
        <v>13</v>
      </c>
    </row>
    <row r="454" spans="1:13" ht="30" x14ac:dyDescent="0.25">
      <c r="A454" s="94"/>
      <c r="B454" s="95"/>
      <c r="C454" s="96"/>
      <c r="D454" s="96"/>
      <c r="E454" s="97"/>
      <c r="F454" s="144"/>
      <c r="G454" s="144"/>
      <c r="H454" s="144"/>
      <c r="I454" s="65" t="s">
        <v>813</v>
      </c>
      <c r="J454" s="34" t="s">
        <v>814</v>
      </c>
      <c r="K454" s="34">
        <v>7</v>
      </c>
      <c r="L454" s="34">
        <v>6.5</v>
      </c>
      <c r="M454" s="35">
        <v>6.5</v>
      </c>
    </row>
    <row r="455" spans="1:13" ht="15.75" thickBot="1" x14ac:dyDescent="0.3">
      <c r="A455" s="77"/>
      <c r="B455" s="81"/>
      <c r="C455" s="82"/>
      <c r="D455" s="82"/>
      <c r="E455" s="83"/>
      <c r="F455" s="122"/>
      <c r="G455" s="122"/>
      <c r="H455" s="122"/>
      <c r="I455" s="65" t="s">
        <v>815</v>
      </c>
      <c r="J455" s="34" t="s">
        <v>22</v>
      </c>
      <c r="K455" s="34">
        <v>11</v>
      </c>
      <c r="L455" s="34">
        <v>12</v>
      </c>
      <c r="M455" s="35">
        <v>12</v>
      </c>
    </row>
    <row r="456" spans="1:13" x14ac:dyDescent="0.25">
      <c r="A456" s="70" t="s">
        <v>816</v>
      </c>
      <c r="B456" s="73" t="s">
        <v>817</v>
      </c>
      <c r="C456" s="73" t="s">
        <v>818</v>
      </c>
      <c r="D456" s="11"/>
      <c r="E456" s="11" t="s">
        <v>519</v>
      </c>
      <c r="F456" s="52">
        <f>SUM(F457:F458)</f>
        <v>653.6</v>
      </c>
      <c r="G456" s="52">
        <f>SUM(G457:G458)</f>
        <v>1183.9000000000001</v>
      </c>
      <c r="H456" s="52">
        <f>SUM(H457:H458)</f>
        <v>1455.8</v>
      </c>
      <c r="I456" s="11" t="s">
        <v>819</v>
      </c>
      <c r="J456" s="13" t="s">
        <v>22</v>
      </c>
      <c r="K456" s="13">
        <v>3</v>
      </c>
      <c r="L456" s="13">
        <v>6</v>
      </c>
      <c r="M456" s="24">
        <v>4</v>
      </c>
    </row>
    <row r="457" spans="1:13" x14ac:dyDescent="0.25">
      <c r="A457" s="71"/>
      <c r="B457" s="74"/>
      <c r="C457" s="74"/>
      <c r="D457" s="8" t="s">
        <v>42</v>
      </c>
      <c r="E457" s="8"/>
      <c r="F457" s="44">
        <v>118.9</v>
      </c>
      <c r="G457" s="44">
        <v>225</v>
      </c>
      <c r="H457" s="44">
        <v>449.5</v>
      </c>
      <c r="I457" s="8" t="s">
        <v>820</v>
      </c>
      <c r="J457" s="9" t="s">
        <v>22</v>
      </c>
      <c r="K457" s="9"/>
      <c r="L457" s="9">
        <v>1</v>
      </c>
      <c r="M457" s="23"/>
    </row>
    <row r="458" spans="1:13" ht="15.75" thickBot="1" x14ac:dyDescent="0.3">
      <c r="A458" s="72"/>
      <c r="B458" s="75"/>
      <c r="C458" s="75"/>
      <c r="D458" s="8" t="s">
        <v>30</v>
      </c>
      <c r="E458" s="8"/>
      <c r="F458" s="44">
        <v>534.70000000000005</v>
      </c>
      <c r="G458" s="44">
        <v>958.9</v>
      </c>
      <c r="H458" s="44">
        <v>1006.3</v>
      </c>
      <c r="I458" s="8" t="s">
        <v>821</v>
      </c>
      <c r="J458" s="9" t="s">
        <v>22</v>
      </c>
      <c r="K458" s="9"/>
      <c r="L458" s="9"/>
      <c r="M458" s="23">
        <v>2</v>
      </c>
    </row>
    <row r="459" spans="1:13" x14ac:dyDescent="0.25">
      <c r="A459" s="70" t="s">
        <v>822</v>
      </c>
      <c r="B459" s="73" t="s">
        <v>823</v>
      </c>
      <c r="C459" s="73" t="s">
        <v>233</v>
      </c>
      <c r="D459" s="11"/>
      <c r="E459" s="11" t="s">
        <v>519</v>
      </c>
      <c r="F459" s="52">
        <f>SUM(F460:F460)</f>
        <v>0</v>
      </c>
      <c r="G459" s="52">
        <f>SUM(G460:G460)</f>
        <v>0</v>
      </c>
      <c r="H459" s="52">
        <f>SUM(H460:H460)</f>
        <v>0</v>
      </c>
      <c r="I459" s="11" t="s">
        <v>824</v>
      </c>
      <c r="J459" s="13" t="s">
        <v>22</v>
      </c>
      <c r="K459" s="13">
        <v>3</v>
      </c>
      <c r="L459" s="13">
        <v>0</v>
      </c>
      <c r="M459" s="24">
        <v>0</v>
      </c>
    </row>
    <row r="460" spans="1:13" ht="30.75" thickBot="1" x14ac:dyDescent="0.3">
      <c r="A460" s="72"/>
      <c r="B460" s="75"/>
      <c r="C460" s="75"/>
      <c r="D460" s="8"/>
      <c r="E460" s="8"/>
      <c r="F460" s="44">
        <v>0</v>
      </c>
      <c r="G460" s="44">
        <v>0</v>
      </c>
      <c r="H460" s="44">
        <v>0</v>
      </c>
      <c r="I460" s="8" t="s">
        <v>825</v>
      </c>
      <c r="J460" s="9" t="s">
        <v>97</v>
      </c>
      <c r="K460" s="9">
        <v>440</v>
      </c>
      <c r="L460" s="9">
        <v>450</v>
      </c>
      <c r="M460" s="23">
        <v>450</v>
      </c>
    </row>
    <row r="461" spans="1:13" x14ac:dyDescent="0.25">
      <c r="A461" s="70" t="s">
        <v>826</v>
      </c>
      <c r="B461" s="73" t="s">
        <v>827</v>
      </c>
      <c r="C461" s="73" t="s">
        <v>828</v>
      </c>
      <c r="D461" s="11"/>
      <c r="E461" s="11" t="s">
        <v>519</v>
      </c>
      <c r="F461" s="52">
        <f>SUM(F462:F463)</f>
        <v>356.6</v>
      </c>
      <c r="G461" s="52">
        <f>SUM(G462:G463)</f>
        <v>435.2</v>
      </c>
      <c r="H461" s="52">
        <f>SUM(H462:H463)</f>
        <v>725.19999999999993</v>
      </c>
      <c r="I461" s="84" t="s">
        <v>829</v>
      </c>
      <c r="J461" s="102" t="s">
        <v>116</v>
      </c>
      <c r="K461" s="102">
        <v>6</v>
      </c>
      <c r="L461" s="102">
        <v>6</v>
      </c>
      <c r="M461" s="139">
        <v>9</v>
      </c>
    </row>
    <row r="462" spans="1:13" x14ac:dyDescent="0.25">
      <c r="A462" s="71"/>
      <c r="B462" s="74"/>
      <c r="C462" s="74"/>
      <c r="D462" s="8" t="s">
        <v>42</v>
      </c>
      <c r="E462" s="8"/>
      <c r="F462" s="44">
        <v>53.6</v>
      </c>
      <c r="G462" s="44">
        <v>65.3</v>
      </c>
      <c r="H462" s="44">
        <v>95.3</v>
      </c>
      <c r="I462" s="85"/>
      <c r="J462" s="100"/>
      <c r="K462" s="100"/>
      <c r="L462" s="100"/>
      <c r="M462" s="140"/>
    </row>
    <row r="463" spans="1:13" ht="15.75" thickBot="1" x14ac:dyDescent="0.3">
      <c r="A463" s="72"/>
      <c r="B463" s="75"/>
      <c r="C463" s="75"/>
      <c r="D463" s="8" t="s">
        <v>30</v>
      </c>
      <c r="E463" s="8"/>
      <c r="F463" s="44">
        <v>303</v>
      </c>
      <c r="G463" s="44">
        <v>369.9</v>
      </c>
      <c r="H463" s="44">
        <v>629.9</v>
      </c>
      <c r="I463" s="86"/>
      <c r="J463" s="101"/>
      <c r="K463" s="101"/>
      <c r="L463" s="101"/>
      <c r="M463" s="124"/>
    </row>
    <row r="464" spans="1:13" ht="32.25" customHeight="1" thickBot="1" x14ac:dyDescent="0.3">
      <c r="A464" s="6" t="s">
        <v>830</v>
      </c>
      <c r="B464" s="115" t="s">
        <v>831</v>
      </c>
      <c r="C464" s="116"/>
      <c r="D464" s="116"/>
      <c r="E464" s="117"/>
      <c r="F464" s="54">
        <f>F465+F469+F471+F473+F474+F475+F478</f>
        <v>50027.099999999991</v>
      </c>
      <c r="G464" s="54">
        <f>G465+G469+G471+G473+G474+G475+G478</f>
        <v>49827.099999999991</v>
      </c>
      <c r="H464" s="54">
        <f>H465+H469+H471+H473+H474+H475+H478</f>
        <v>49827.099999999991</v>
      </c>
      <c r="I464" s="64" t="s">
        <v>832</v>
      </c>
      <c r="J464" s="7" t="s">
        <v>27</v>
      </c>
      <c r="K464" s="7">
        <v>15.6</v>
      </c>
      <c r="L464" s="7">
        <v>15</v>
      </c>
      <c r="M464" s="25">
        <v>15</v>
      </c>
    </row>
    <row r="465" spans="1:13" x14ac:dyDescent="0.25">
      <c r="A465" s="70" t="s">
        <v>833</v>
      </c>
      <c r="B465" s="73" t="s">
        <v>834</v>
      </c>
      <c r="C465" s="73" t="s">
        <v>189</v>
      </c>
      <c r="D465" s="11"/>
      <c r="E465" s="11"/>
      <c r="F465" s="52">
        <f>SUM(F466:F468)</f>
        <v>6057.3</v>
      </c>
      <c r="G465" s="52">
        <f>SUM(G466:G468)</f>
        <v>6057.3</v>
      </c>
      <c r="H465" s="52">
        <f>SUM(H466:H468)</f>
        <v>6057.3</v>
      </c>
      <c r="I465" s="11" t="s">
        <v>835</v>
      </c>
      <c r="J465" s="13" t="s">
        <v>97</v>
      </c>
      <c r="K465" s="30">
        <v>18500</v>
      </c>
      <c r="L465" s="30">
        <v>18500</v>
      </c>
      <c r="M465" s="31">
        <v>18500</v>
      </c>
    </row>
    <row r="466" spans="1:13" x14ac:dyDescent="0.25">
      <c r="A466" s="71"/>
      <c r="B466" s="74"/>
      <c r="C466" s="74"/>
      <c r="D466" s="8" t="s">
        <v>42</v>
      </c>
      <c r="E466" s="8"/>
      <c r="F466" s="44">
        <v>4573</v>
      </c>
      <c r="G466" s="44">
        <v>4573</v>
      </c>
      <c r="H466" s="44">
        <v>4573</v>
      </c>
      <c r="I466" s="98" t="s">
        <v>836</v>
      </c>
      <c r="J466" s="99" t="s">
        <v>97</v>
      </c>
      <c r="K466" s="146">
        <v>1350</v>
      </c>
      <c r="L466" s="146">
        <v>1350</v>
      </c>
      <c r="M466" s="147">
        <v>1350</v>
      </c>
    </row>
    <row r="467" spans="1:13" x14ac:dyDescent="0.25">
      <c r="A467" s="71"/>
      <c r="B467" s="74"/>
      <c r="C467" s="74"/>
      <c r="D467" s="8" t="s">
        <v>28</v>
      </c>
      <c r="E467" s="8"/>
      <c r="F467" s="44">
        <v>670</v>
      </c>
      <c r="G467" s="44">
        <v>670</v>
      </c>
      <c r="H467" s="44">
        <v>670</v>
      </c>
      <c r="I467" s="85"/>
      <c r="J467" s="100"/>
      <c r="K467" s="110"/>
      <c r="L467" s="110"/>
      <c r="M467" s="113"/>
    </row>
    <row r="468" spans="1:13" ht="15.75" thickBot="1" x14ac:dyDescent="0.3">
      <c r="A468" s="72"/>
      <c r="B468" s="75"/>
      <c r="C468" s="75"/>
      <c r="D468" s="8" t="s">
        <v>155</v>
      </c>
      <c r="E468" s="8"/>
      <c r="F468" s="44">
        <v>814.3</v>
      </c>
      <c r="G468" s="44">
        <v>814.3</v>
      </c>
      <c r="H468" s="44">
        <v>814.3</v>
      </c>
      <c r="I468" s="86"/>
      <c r="J468" s="101"/>
      <c r="K468" s="111"/>
      <c r="L468" s="111"/>
      <c r="M468" s="114"/>
    </row>
    <row r="469" spans="1:13" x14ac:dyDescent="0.25">
      <c r="A469" s="70" t="s">
        <v>837</v>
      </c>
      <c r="B469" s="73" t="s">
        <v>838</v>
      </c>
      <c r="C469" s="73" t="s">
        <v>189</v>
      </c>
      <c r="D469" s="84" t="s">
        <v>284</v>
      </c>
      <c r="E469" s="84"/>
      <c r="F469" s="103">
        <f>SUM(F470:F470)+29665.8</f>
        <v>29665.8</v>
      </c>
      <c r="G469" s="103">
        <f>SUM(G470:G470)+29665.8</f>
        <v>29665.8</v>
      </c>
      <c r="H469" s="103">
        <f>SUM(H470:H470)+29665.8</f>
        <v>29665.8</v>
      </c>
      <c r="I469" s="11" t="s">
        <v>839</v>
      </c>
      <c r="J469" s="13" t="s">
        <v>97</v>
      </c>
      <c r="K469" s="30">
        <v>21500</v>
      </c>
      <c r="L469" s="30">
        <v>21500</v>
      </c>
      <c r="M469" s="31">
        <v>21500</v>
      </c>
    </row>
    <row r="470" spans="1:13" ht="15.75" thickBot="1" x14ac:dyDescent="0.3">
      <c r="A470" s="72"/>
      <c r="B470" s="75"/>
      <c r="C470" s="75"/>
      <c r="D470" s="86"/>
      <c r="E470" s="86"/>
      <c r="F470" s="104"/>
      <c r="G470" s="104"/>
      <c r="H470" s="104"/>
      <c r="I470" s="8" t="s">
        <v>840</v>
      </c>
      <c r="J470" s="9" t="s">
        <v>22</v>
      </c>
      <c r="K470" s="9">
        <v>38</v>
      </c>
      <c r="L470" s="9">
        <v>38</v>
      </c>
      <c r="M470" s="23">
        <v>38</v>
      </c>
    </row>
    <row r="471" spans="1:13" x14ac:dyDescent="0.25">
      <c r="A471" s="70" t="s">
        <v>841</v>
      </c>
      <c r="B471" s="73" t="s">
        <v>842</v>
      </c>
      <c r="C471" s="73" t="s">
        <v>189</v>
      </c>
      <c r="D471" s="84" t="s">
        <v>284</v>
      </c>
      <c r="E471" s="84"/>
      <c r="F471" s="103">
        <f>SUM(F472:F472)+12389.8</f>
        <v>12389.8</v>
      </c>
      <c r="G471" s="103">
        <f>SUM(G472:G472)+12389.8</f>
        <v>12389.8</v>
      </c>
      <c r="H471" s="103">
        <f>SUM(H472:H472)+12389.8</f>
        <v>12389.8</v>
      </c>
      <c r="I471" s="11" t="s">
        <v>839</v>
      </c>
      <c r="J471" s="13" t="s">
        <v>97</v>
      </c>
      <c r="K471" s="30">
        <v>4400</v>
      </c>
      <c r="L471" s="30">
        <v>4400</v>
      </c>
      <c r="M471" s="31">
        <v>4400</v>
      </c>
    </row>
    <row r="472" spans="1:13" ht="15.75" thickBot="1" x14ac:dyDescent="0.3">
      <c r="A472" s="72"/>
      <c r="B472" s="75"/>
      <c r="C472" s="75"/>
      <c r="D472" s="86"/>
      <c r="E472" s="86"/>
      <c r="F472" s="104"/>
      <c r="G472" s="104"/>
      <c r="H472" s="104"/>
      <c r="I472" s="8" t="s">
        <v>840</v>
      </c>
      <c r="J472" s="9" t="s">
        <v>22</v>
      </c>
      <c r="K472" s="9">
        <v>38</v>
      </c>
      <c r="L472" s="9">
        <v>38</v>
      </c>
      <c r="M472" s="23">
        <v>38</v>
      </c>
    </row>
    <row r="473" spans="1:13" ht="75.75" thickBot="1" x14ac:dyDescent="0.3">
      <c r="A473" s="10" t="s">
        <v>843</v>
      </c>
      <c r="B473" s="11" t="s">
        <v>844</v>
      </c>
      <c r="C473" s="12" t="s">
        <v>189</v>
      </c>
      <c r="D473" s="11" t="s">
        <v>155</v>
      </c>
      <c r="E473" s="11"/>
      <c r="F473" s="56">
        <v>1</v>
      </c>
      <c r="G473" s="56">
        <v>1</v>
      </c>
      <c r="H473" s="56">
        <v>1</v>
      </c>
      <c r="I473" s="11" t="s">
        <v>839</v>
      </c>
      <c r="J473" s="13" t="s">
        <v>97</v>
      </c>
      <c r="K473" s="13">
        <v>1</v>
      </c>
      <c r="L473" s="13">
        <v>1</v>
      </c>
      <c r="M473" s="24">
        <v>1</v>
      </c>
    </row>
    <row r="474" spans="1:13" ht="30.75" thickBot="1" x14ac:dyDescent="0.3">
      <c r="A474" s="10" t="s">
        <v>845</v>
      </c>
      <c r="B474" s="11" t="s">
        <v>846</v>
      </c>
      <c r="C474" s="12" t="s">
        <v>189</v>
      </c>
      <c r="D474" s="11" t="s">
        <v>42</v>
      </c>
      <c r="E474" s="11"/>
      <c r="F474" s="56">
        <v>5.2</v>
      </c>
      <c r="G474" s="56">
        <v>5.2</v>
      </c>
      <c r="H474" s="56">
        <v>5.2</v>
      </c>
      <c r="I474" s="11" t="s">
        <v>839</v>
      </c>
      <c r="J474" s="13" t="s">
        <v>97</v>
      </c>
      <c r="K474" s="13">
        <v>2</v>
      </c>
      <c r="L474" s="13">
        <v>2</v>
      </c>
      <c r="M474" s="24">
        <v>2</v>
      </c>
    </row>
    <row r="475" spans="1:13" x14ac:dyDescent="0.25">
      <c r="A475" s="70" t="s">
        <v>847</v>
      </c>
      <c r="B475" s="73" t="s">
        <v>848</v>
      </c>
      <c r="C475" s="73" t="s">
        <v>189</v>
      </c>
      <c r="D475" s="11"/>
      <c r="E475" s="11"/>
      <c r="F475" s="52">
        <f>SUM(F476:F477)</f>
        <v>1708</v>
      </c>
      <c r="G475" s="52">
        <f>SUM(G476:G477)</f>
        <v>1708</v>
      </c>
      <c r="H475" s="52">
        <f>SUM(H476:H477)</f>
        <v>1708</v>
      </c>
      <c r="I475" s="84" t="s">
        <v>839</v>
      </c>
      <c r="J475" s="102" t="s">
        <v>97</v>
      </c>
      <c r="K475" s="109">
        <v>4790</v>
      </c>
      <c r="L475" s="109">
        <v>4790</v>
      </c>
      <c r="M475" s="112">
        <v>4790</v>
      </c>
    </row>
    <row r="476" spans="1:13" x14ac:dyDescent="0.25">
      <c r="A476" s="71"/>
      <c r="B476" s="74"/>
      <c r="C476" s="74"/>
      <c r="D476" s="8" t="s">
        <v>155</v>
      </c>
      <c r="E476" s="8"/>
      <c r="F476" s="44">
        <v>1588</v>
      </c>
      <c r="G476" s="44">
        <v>1588</v>
      </c>
      <c r="H476" s="44">
        <v>1588</v>
      </c>
      <c r="I476" s="85"/>
      <c r="J476" s="100"/>
      <c r="K476" s="110"/>
      <c r="L476" s="110"/>
      <c r="M476" s="113"/>
    </row>
    <row r="477" spans="1:13" ht="15.75" thickBot="1" x14ac:dyDescent="0.3">
      <c r="A477" s="72"/>
      <c r="B477" s="75"/>
      <c r="C477" s="75"/>
      <c r="D477" s="8" t="s">
        <v>28</v>
      </c>
      <c r="E477" s="8"/>
      <c r="F477" s="44">
        <v>120</v>
      </c>
      <c r="G477" s="44">
        <v>120</v>
      </c>
      <c r="H477" s="44">
        <v>120</v>
      </c>
      <c r="I477" s="86"/>
      <c r="J477" s="101"/>
      <c r="K477" s="111"/>
      <c r="L477" s="111"/>
      <c r="M477" s="114"/>
    </row>
    <row r="478" spans="1:13" ht="45.75" thickBot="1" x14ac:dyDescent="0.3">
      <c r="A478" s="10" t="s">
        <v>849</v>
      </c>
      <c r="B478" s="11" t="s">
        <v>850</v>
      </c>
      <c r="C478" s="12" t="s">
        <v>178</v>
      </c>
      <c r="D478" s="11" t="s">
        <v>42</v>
      </c>
      <c r="E478" s="11"/>
      <c r="F478" s="56">
        <v>200</v>
      </c>
      <c r="G478" s="56">
        <v>0</v>
      </c>
      <c r="H478" s="56">
        <v>0</v>
      </c>
      <c r="I478" s="11" t="s">
        <v>851</v>
      </c>
      <c r="J478" s="13" t="s">
        <v>27</v>
      </c>
      <c r="K478" s="13">
        <v>100</v>
      </c>
      <c r="L478" s="13"/>
      <c r="M478" s="24"/>
    </row>
    <row r="479" spans="1:13" ht="26.25" customHeight="1" thickBot="1" x14ac:dyDescent="0.3">
      <c r="A479" s="4" t="s">
        <v>852</v>
      </c>
      <c r="B479" s="5" t="s">
        <v>853</v>
      </c>
      <c r="C479" s="91" t="s">
        <v>854</v>
      </c>
      <c r="D479" s="92"/>
      <c r="E479" s="93"/>
      <c r="F479" s="53">
        <f>F480+F516</f>
        <v>21787.300000000003</v>
      </c>
      <c r="G479" s="53">
        <f>G480+G516</f>
        <v>20761.900000000001</v>
      </c>
      <c r="H479" s="53">
        <f>H480+H516</f>
        <v>17778.3</v>
      </c>
      <c r="I479" s="88"/>
      <c r="J479" s="89"/>
      <c r="K479" s="89"/>
      <c r="L479" s="89"/>
      <c r="M479" s="90"/>
    </row>
    <row r="480" spans="1:13" ht="30" x14ac:dyDescent="0.25">
      <c r="A480" s="76" t="s">
        <v>855</v>
      </c>
      <c r="B480" s="78" t="s">
        <v>856</v>
      </c>
      <c r="C480" s="79"/>
      <c r="D480" s="79"/>
      <c r="E480" s="80"/>
      <c r="F480" s="121">
        <f>F481+F482+F487+F491+F500+F506+F508+F511+F512+F515</f>
        <v>12091.800000000001</v>
      </c>
      <c r="G480" s="121">
        <f>G481+G482+G487+G491+G500+G506+G508+G511+G512+G515</f>
        <v>12281.400000000001</v>
      </c>
      <c r="H480" s="121">
        <f>H481+H482+H487+H491+H500+H506+H508+H511+H512+H515</f>
        <v>12599.5</v>
      </c>
      <c r="I480" s="64" t="s">
        <v>857</v>
      </c>
      <c r="J480" s="7" t="s">
        <v>27</v>
      </c>
      <c r="K480" s="7">
        <v>9</v>
      </c>
      <c r="L480" s="7">
        <v>9.1999999999999993</v>
      </c>
      <c r="M480" s="25">
        <v>9.4</v>
      </c>
    </row>
    <row r="481" spans="1:13" ht="30.75" thickBot="1" x14ac:dyDescent="0.3">
      <c r="A481" s="77"/>
      <c r="B481" s="81"/>
      <c r="C481" s="82"/>
      <c r="D481" s="82"/>
      <c r="E481" s="83"/>
      <c r="F481" s="122"/>
      <c r="G481" s="122"/>
      <c r="H481" s="122"/>
      <c r="I481" s="65" t="s">
        <v>858</v>
      </c>
      <c r="J481" s="34" t="s">
        <v>97</v>
      </c>
      <c r="K481" s="34">
        <v>13</v>
      </c>
      <c r="L481" s="34">
        <v>13</v>
      </c>
      <c r="M481" s="35">
        <v>14</v>
      </c>
    </row>
    <row r="482" spans="1:13" ht="33" customHeight="1" x14ac:dyDescent="0.25">
      <c r="A482" s="70" t="s">
        <v>859</v>
      </c>
      <c r="B482" s="73" t="s">
        <v>860</v>
      </c>
      <c r="C482" s="73" t="s">
        <v>854</v>
      </c>
      <c r="D482" s="11"/>
      <c r="E482" s="11"/>
      <c r="F482" s="52">
        <f>SUM(F483:F486)</f>
        <v>7123.9000000000005</v>
      </c>
      <c r="G482" s="52">
        <f>SUM(G483:G486)</f>
        <v>7193.7000000000007</v>
      </c>
      <c r="H482" s="52">
        <f>SUM(H483:H486)</f>
        <v>7352.6</v>
      </c>
      <c r="I482" s="11" t="s">
        <v>861</v>
      </c>
      <c r="J482" s="13" t="s">
        <v>97</v>
      </c>
      <c r="K482" s="30">
        <v>2975</v>
      </c>
      <c r="L482" s="30">
        <v>3000</v>
      </c>
      <c r="M482" s="31">
        <v>3025</v>
      </c>
    </row>
    <row r="483" spans="1:13" x14ac:dyDescent="0.25">
      <c r="A483" s="71"/>
      <c r="B483" s="74"/>
      <c r="C483" s="74"/>
      <c r="D483" s="8" t="s">
        <v>108</v>
      </c>
      <c r="E483" s="8"/>
      <c r="F483" s="44">
        <v>577.1</v>
      </c>
      <c r="G483" s="44">
        <v>578.6</v>
      </c>
      <c r="H483" s="44">
        <v>580.1</v>
      </c>
      <c r="I483" s="8" t="s">
        <v>862</v>
      </c>
      <c r="J483" s="9" t="s">
        <v>97</v>
      </c>
      <c r="K483" s="9">
        <v>51</v>
      </c>
      <c r="L483" s="9">
        <v>53</v>
      </c>
      <c r="M483" s="23">
        <v>55</v>
      </c>
    </row>
    <row r="484" spans="1:13" ht="16.5" customHeight="1" x14ac:dyDescent="0.25">
      <c r="A484" s="71"/>
      <c r="B484" s="74"/>
      <c r="C484" s="74"/>
      <c r="D484" s="8" t="s">
        <v>136</v>
      </c>
      <c r="E484" s="8"/>
      <c r="F484" s="44">
        <v>145.5</v>
      </c>
      <c r="G484" s="44">
        <v>137</v>
      </c>
      <c r="H484" s="44">
        <v>137.5</v>
      </c>
      <c r="I484" s="8" t="s">
        <v>863</v>
      </c>
      <c r="J484" s="9" t="s">
        <v>97</v>
      </c>
      <c r="K484" s="9">
        <v>167</v>
      </c>
      <c r="L484" s="9">
        <v>169</v>
      </c>
      <c r="M484" s="23">
        <v>170</v>
      </c>
    </row>
    <row r="485" spans="1:13" ht="45" x14ac:dyDescent="0.25">
      <c r="A485" s="71"/>
      <c r="B485" s="74"/>
      <c r="C485" s="74"/>
      <c r="D485" s="8" t="s">
        <v>284</v>
      </c>
      <c r="E485" s="8"/>
      <c r="F485" s="44">
        <v>48.5</v>
      </c>
      <c r="G485" s="44">
        <v>48.5</v>
      </c>
      <c r="H485" s="44">
        <v>48.5</v>
      </c>
      <c r="I485" s="8" t="s">
        <v>864</v>
      </c>
      <c r="J485" s="9" t="s">
        <v>116</v>
      </c>
      <c r="K485" s="9">
        <v>3</v>
      </c>
      <c r="L485" s="9">
        <v>3</v>
      </c>
      <c r="M485" s="23">
        <v>3</v>
      </c>
    </row>
    <row r="486" spans="1:13" ht="34.5" customHeight="1" thickBot="1" x14ac:dyDescent="0.3">
      <c r="A486" s="72"/>
      <c r="B486" s="75"/>
      <c r="C486" s="75"/>
      <c r="D486" s="8" t="s">
        <v>42</v>
      </c>
      <c r="E486" s="8"/>
      <c r="F486" s="44">
        <v>6352.8</v>
      </c>
      <c r="G486" s="44">
        <v>6429.6</v>
      </c>
      <c r="H486" s="44">
        <v>6586.5</v>
      </c>
      <c r="I486" s="8" t="s">
        <v>861</v>
      </c>
      <c r="J486" s="9" t="s">
        <v>97</v>
      </c>
      <c r="K486" s="9">
        <v>1.25</v>
      </c>
      <c r="L486" s="9">
        <v>1.25</v>
      </c>
      <c r="M486" s="23">
        <v>1.25</v>
      </c>
    </row>
    <row r="487" spans="1:13" x14ac:dyDescent="0.25">
      <c r="A487" s="70" t="s">
        <v>865</v>
      </c>
      <c r="B487" s="73" t="s">
        <v>866</v>
      </c>
      <c r="C487" s="73" t="s">
        <v>867</v>
      </c>
      <c r="D487" s="84" t="s">
        <v>42</v>
      </c>
      <c r="E487" s="84"/>
      <c r="F487" s="103">
        <f>SUM(F488:F490)+3062.9</f>
        <v>3062.9</v>
      </c>
      <c r="G487" s="103">
        <f>SUM(G488:G490)+3062.9</f>
        <v>3062.9</v>
      </c>
      <c r="H487" s="103">
        <f>SUM(H488:H490)+3062.9</f>
        <v>3062.9</v>
      </c>
      <c r="I487" s="11" t="s">
        <v>868</v>
      </c>
      <c r="J487" s="13" t="s">
        <v>22</v>
      </c>
      <c r="K487" s="13">
        <v>3</v>
      </c>
      <c r="L487" s="13">
        <v>3</v>
      </c>
      <c r="M487" s="24">
        <v>3</v>
      </c>
    </row>
    <row r="488" spans="1:13" x14ac:dyDescent="0.25">
      <c r="A488" s="71"/>
      <c r="B488" s="74"/>
      <c r="C488" s="74"/>
      <c r="D488" s="85"/>
      <c r="E488" s="85"/>
      <c r="F488" s="108"/>
      <c r="G488" s="108"/>
      <c r="H488" s="108"/>
      <c r="I488" s="8" t="s">
        <v>869</v>
      </c>
      <c r="J488" s="9" t="s">
        <v>97</v>
      </c>
      <c r="K488" s="9">
        <v>800</v>
      </c>
      <c r="L488" s="9">
        <v>820</v>
      </c>
      <c r="M488" s="23">
        <v>850</v>
      </c>
    </row>
    <row r="489" spans="1:13" x14ac:dyDescent="0.25">
      <c r="A489" s="71"/>
      <c r="B489" s="74"/>
      <c r="C489" s="74"/>
      <c r="D489" s="85"/>
      <c r="E489" s="85"/>
      <c r="F489" s="108"/>
      <c r="G489" s="108"/>
      <c r="H489" s="108"/>
      <c r="I489" s="8" t="s">
        <v>870</v>
      </c>
      <c r="J489" s="9" t="s">
        <v>22</v>
      </c>
      <c r="K489" s="9">
        <v>1</v>
      </c>
      <c r="L489" s="9">
        <v>2</v>
      </c>
      <c r="M489" s="23">
        <v>2</v>
      </c>
    </row>
    <row r="490" spans="1:13" ht="15.75" thickBot="1" x14ac:dyDescent="0.3">
      <c r="A490" s="72"/>
      <c r="B490" s="75"/>
      <c r="C490" s="75"/>
      <c r="D490" s="86"/>
      <c r="E490" s="86"/>
      <c r="F490" s="104"/>
      <c r="G490" s="104"/>
      <c r="H490" s="104"/>
      <c r="I490" s="8" t="s">
        <v>871</v>
      </c>
      <c r="J490" s="9" t="s">
        <v>97</v>
      </c>
      <c r="K490" s="9">
        <v>610</v>
      </c>
      <c r="L490" s="9">
        <v>620</v>
      </c>
      <c r="M490" s="23">
        <v>630</v>
      </c>
    </row>
    <row r="491" spans="1:13" ht="30" x14ac:dyDescent="0.25">
      <c r="A491" s="70" t="s">
        <v>872</v>
      </c>
      <c r="B491" s="73" t="s">
        <v>873</v>
      </c>
      <c r="C491" s="73" t="s">
        <v>854</v>
      </c>
      <c r="D491" s="84" t="s">
        <v>42</v>
      </c>
      <c r="E491" s="84"/>
      <c r="F491" s="103">
        <f>SUM(F492:F499)+175</f>
        <v>175</v>
      </c>
      <c r="G491" s="103">
        <f>SUM(G492:G499)+191</f>
        <v>191</v>
      </c>
      <c r="H491" s="103">
        <f>SUM(H492:H499)+210</f>
        <v>210</v>
      </c>
      <c r="I491" s="11" t="s">
        <v>874</v>
      </c>
      <c r="J491" s="13" t="s">
        <v>22</v>
      </c>
      <c r="K491" s="13">
        <v>265</v>
      </c>
      <c r="L491" s="13">
        <v>268</v>
      </c>
      <c r="M491" s="24">
        <v>270</v>
      </c>
    </row>
    <row r="492" spans="1:13" ht="45" x14ac:dyDescent="0.25">
      <c r="A492" s="71"/>
      <c r="B492" s="74"/>
      <c r="C492" s="74"/>
      <c r="D492" s="85"/>
      <c r="E492" s="85"/>
      <c r="F492" s="108"/>
      <c r="G492" s="108"/>
      <c r="H492" s="108"/>
      <c r="I492" s="8" t="s">
        <v>875</v>
      </c>
      <c r="J492" s="9" t="s">
        <v>22</v>
      </c>
      <c r="K492" s="9">
        <v>570</v>
      </c>
      <c r="L492" s="9">
        <v>570</v>
      </c>
      <c r="M492" s="23">
        <v>570</v>
      </c>
    </row>
    <row r="493" spans="1:13" ht="45" x14ac:dyDescent="0.25">
      <c r="A493" s="71"/>
      <c r="B493" s="74"/>
      <c r="C493" s="74"/>
      <c r="D493" s="85"/>
      <c r="E493" s="85"/>
      <c r="F493" s="108"/>
      <c r="G493" s="108"/>
      <c r="H493" s="108"/>
      <c r="I493" s="8" t="s">
        <v>876</v>
      </c>
      <c r="J493" s="9" t="s">
        <v>22</v>
      </c>
      <c r="K493" s="9">
        <v>38</v>
      </c>
      <c r="L493" s="9">
        <v>39</v>
      </c>
      <c r="M493" s="23">
        <v>39</v>
      </c>
    </row>
    <row r="494" spans="1:13" ht="45" x14ac:dyDescent="0.25">
      <c r="A494" s="71"/>
      <c r="B494" s="74"/>
      <c r="C494" s="74"/>
      <c r="D494" s="85"/>
      <c r="E494" s="85"/>
      <c r="F494" s="108"/>
      <c r="G494" s="108"/>
      <c r="H494" s="108"/>
      <c r="I494" s="8" t="s">
        <v>877</v>
      </c>
      <c r="J494" s="9" t="s">
        <v>22</v>
      </c>
      <c r="K494" s="9">
        <v>26</v>
      </c>
      <c r="L494" s="9">
        <v>27</v>
      </c>
      <c r="M494" s="23">
        <v>28</v>
      </c>
    </row>
    <row r="495" spans="1:13" ht="30" x14ac:dyDescent="0.25">
      <c r="A495" s="71"/>
      <c r="B495" s="74"/>
      <c r="C495" s="74"/>
      <c r="D495" s="85"/>
      <c r="E495" s="85"/>
      <c r="F495" s="108"/>
      <c r="G495" s="108"/>
      <c r="H495" s="108"/>
      <c r="I495" s="8" t="s">
        <v>878</v>
      </c>
      <c r="J495" s="9" t="s">
        <v>97</v>
      </c>
      <c r="K495" s="9">
        <v>62</v>
      </c>
      <c r="L495" s="9">
        <v>62</v>
      </c>
      <c r="M495" s="23">
        <v>62</v>
      </c>
    </row>
    <row r="496" spans="1:13" ht="30" x14ac:dyDescent="0.25">
      <c r="A496" s="71"/>
      <c r="B496" s="74"/>
      <c r="C496" s="74"/>
      <c r="D496" s="85"/>
      <c r="E496" s="85"/>
      <c r="F496" s="108"/>
      <c r="G496" s="108"/>
      <c r="H496" s="108"/>
      <c r="I496" s="8" t="s">
        <v>879</v>
      </c>
      <c r="J496" s="9" t="s">
        <v>97</v>
      </c>
      <c r="K496" s="9">
        <v>11</v>
      </c>
      <c r="L496" s="9">
        <v>11</v>
      </c>
      <c r="M496" s="23">
        <v>12</v>
      </c>
    </row>
    <row r="497" spans="1:13" x14ac:dyDescent="0.25">
      <c r="A497" s="71"/>
      <c r="B497" s="74"/>
      <c r="C497" s="74"/>
      <c r="D497" s="85"/>
      <c r="E497" s="85"/>
      <c r="F497" s="108"/>
      <c r="G497" s="108"/>
      <c r="H497" s="108"/>
      <c r="I497" s="8" t="s">
        <v>862</v>
      </c>
      <c r="J497" s="9" t="s">
        <v>97</v>
      </c>
      <c r="K497" s="9">
        <v>131</v>
      </c>
      <c r="L497" s="9">
        <v>133</v>
      </c>
      <c r="M497" s="23">
        <v>134</v>
      </c>
    </row>
    <row r="498" spans="1:13" x14ac:dyDescent="0.25">
      <c r="A498" s="71"/>
      <c r="B498" s="74"/>
      <c r="C498" s="74"/>
      <c r="D498" s="85"/>
      <c r="E498" s="85"/>
      <c r="F498" s="108"/>
      <c r="G498" s="108"/>
      <c r="H498" s="108"/>
      <c r="I498" s="8" t="s">
        <v>880</v>
      </c>
      <c r="J498" s="9" t="s">
        <v>97</v>
      </c>
      <c r="K498" s="9">
        <v>198</v>
      </c>
      <c r="L498" s="9">
        <v>201</v>
      </c>
      <c r="M498" s="23">
        <v>202</v>
      </c>
    </row>
    <row r="499" spans="1:13" ht="15.75" thickBot="1" x14ac:dyDescent="0.3">
      <c r="A499" s="72"/>
      <c r="B499" s="75"/>
      <c r="C499" s="75"/>
      <c r="D499" s="86"/>
      <c r="E499" s="86"/>
      <c r="F499" s="104"/>
      <c r="G499" s="104"/>
      <c r="H499" s="104"/>
      <c r="I499" s="8" t="s">
        <v>881</v>
      </c>
      <c r="J499" s="9" t="s">
        <v>97</v>
      </c>
      <c r="K499" s="9">
        <v>179</v>
      </c>
      <c r="L499" s="9">
        <v>180</v>
      </c>
      <c r="M499" s="23">
        <v>181</v>
      </c>
    </row>
    <row r="500" spans="1:13" x14ac:dyDescent="0.25">
      <c r="A500" s="70" t="s">
        <v>882</v>
      </c>
      <c r="B500" s="73" t="s">
        <v>883</v>
      </c>
      <c r="C500" s="73" t="s">
        <v>854</v>
      </c>
      <c r="D500" s="84" t="s">
        <v>42</v>
      </c>
      <c r="E500" s="84"/>
      <c r="F500" s="103">
        <f>SUM(F501:F505)+575</f>
        <v>575</v>
      </c>
      <c r="G500" s="103">
        <f>SUM(G501:G505)+581</f>
        <v>581</v>
      </c>
      <c r="H500" s="103">
        <f>SUM(H501:H505)+601</f>
        <v>601</v>
      </c>
      <c r="I500" s="11" t="s">
        <v>884</v>
      </c>
      <c r="J500" s="13" t="s">
        <v>97</v>
      </c>
      <c r="K500" s="13">
        <v>14</v>
      </c>
      <c r="L500" s="13">
        <v>14</v>
      </c>
      <c r="M500" s="24">
        <v>14</v>
      </c>
    </row>
    <row r="501" spans="1:13" ht="30" x14ac:dyDescent="0.25">
      <c r="A501" s="71"/>
      <c r="B501" s="74"/>
      <c r="C501" s="74"/>
      <c r="D501" s="85"/>
      <c r="E501" s="85"/>
      <c r="F501" s="108"/>
      <c r="G501" s="108"/>
      <c r="H501" s="108"/>
      <c r="I501" s="8" t="s">
        <v>885</v>
      </c>
      <c r="J501" s="9" t="s">
        <v>22</v>
      </c>
      <c r="K501" s="9">
        <v>10</v>
      </c>
      <c r="L501" s="9">
        <v>10</v>
      </c>
      <c r="M501" s="23">
        <v>10</v>
      </c>
    </row>
    <row r="502" spans="1:13" x14ac:dyDescent="0.25">
      <c r="A502" s="71"/>
      <c r="B502" s="74"/>
      <c r="C502" s="74"/>
      <c r="D502" s="85"/>
      <c r="E502" s="85"/>
      <c r="F502" s="108"/>
      <c r="G502" s="108"/>
      <c r="H502" s="108"/>
      <c r="I502" s="8" t="s">
        <v>886</v>
      </c>
      <c r="J502" s="9" t="s">
        <v>97</v>
      </c>
      <c r="K502" s="9">
        <v>10</v>
      </c>
      <c r="L502" s="9">
        <v>10</v>
      </c>
      <c r="M502" s="23">
        <v>10</v>
      </c>
    </row>
    <row r="503" spans="1:13" x14ac:dyDescent="0.25">
      <c r="A503" s="71"/>
      <c r="B503" s="74"/>
      <c r="C503" s="74"/>
      <c r="D503" s="85"/>
      <c r="E503" s="85"/>
      <c r="F503" s="108"/>
      <c r="G503" s="108"/>
      <c r="H503" s="108"/>
      <c r="I503" s="8" t="s">
        <v>887</v>
      </c>
      <c r="J503" s="9" t="s">
        <v>97</v>
      </c>
      <c r="K503" s="9">
        <v>7</v>
      </c>
      <c r="L503" s="9">
        <v>7</v>
      </c>
      <c r="M503" s="23">
        <v>7</v>
      </c>
    </row>
    <row r="504" spans="1:13" x14ac:dyDescent="0.25">
      <c r="A504" s="71"/>
      <c r="B504" s="74"/>
      <c r="C504" s="74"/>
      <c r="D504" s="85"/>
      <c r="E504" s="85"/>
      <c r="F504" s="108"/>
      <c r="G504" s="108"/>
      <c r="H504" s="108"/>
      <c r="I504" s="8" t="s">
        <v>862</v>
      </c>
      <c r="J504" s="9" t="s">
        <v>97</v>
      </c>
      <c r="K504" s="9">
        <v>93</v>
      </c>
      <c r="L504" s="9">
        <v>93</v>
      </c>
      <c r="M504" s="23">
        <v>95</v>
      </c>
    </row>
    <row r="505" spans="1:13" ht="15.75" thickBot="1" x14ac:dyDescent="0.3">
      <c r="A505" s="72"/>
      <c r="B505" s="75"/>
      <c r="C505" s="75"/>
      <c r="D505" s="86"/>
      <c r="E505" s="86"/>
      <c r="F505" s="104"/>
      <c r="G505" s="104"/>
      <c r="H505" s="104"/>
      <c r="I505" s="8" t="s">
        <v>888</v>
      </c>
      <c r="J505" s="9" t="s">
        <v>97</v>
      </c>
      <c r="K505" s="9">
        <v>55</v>
      </c>
      <c r="L505" s="9">
        <v>56</v>
      </c>
      <c r="M505" s="23">
        <v>57</v>
      </c>
    </row>
    <row r="506" spans="1:13" ht="30" x14ac:dyDescent="0.25">
      <c r="A506" s="70" t="s">
        <v>889</v>
      </c>
      <c r="B506" s="73" t="s">
        <v>890</v>
      </c>
      <c r="C506" s="73" t="s">
        <v>891</v>
      </c>
      <c r="D506" s="84" t="s">
        <v>42</v>
      </c>
      <c r="E506" s="84"/>
      <c r="F506" s="103">
        <f>SUM(F507:F507)+915.6</f>
        <v>915.6</v>
      </c>
      <c r="G506" s="103">
        <f>SUM(G507:G507)+1007.2</f>
        <v>1007.2</v>
      </c>
      <c r="H506" s="103">
        <f>SUM(H507:H507)+1108</f>
        <v>1108</v>
      </c>
      <c r="I506" s="11" t="s">
        <v>892</v>
      </c>
      <c r="J506" s="13" t="s">
        <v>97</v>
      </c>
      <c r="K506" s="13">
        <v>8</v>
      </c>
      <c r="L506" s="13">
        <v>8</v>
      </c>
      <c r="M506" s="24">
        <v>8</v>
      </c>
    </row>
    <row r="507" spans="1:13" ht="15.75" thickBot="1" x14ac:dyDescent="0.3">
      <c r="A507" s="72"/>
      <c r="B507" s="75"/>
      <c r="C507" s="75"/>
      <c r="D507" s="86"/>
      <c r="E507" s="86"/>
      <c r="F507" s="104"/>
      <c r="G507" s="104"/>
      <c r="H507" s="104"/>
      <c r="I507" s="8" t="s">
        <v>893</v>
      </c>
      <c r="J507" s="9" t="s">
        <v>97</v>
      </c>
      <c r="K507" s="26">
        <v>2800</v>
      </c>
      <c r="L507" s="26">
        <v>3500</v>
      </c>
      <c r="M507" s="27">
        <v>5000</v>
      </c>
    </row>
    <row r="508" spans="1:13" x14ac:dyDescent="0.25">
      <c r="A508" s="70" t="s">
        <v>894</v>
      </c>
      <c r="B508" s="73" t="s">
        <v>895</v>
      </c>
      <c r="C508" s="73" t="s">
        <v>854</v>
      </c>
      <c r="D508" s="84" t="s">
        <v>42</v>
      </c>
      <c r="E508" s="84"/>
      <c r="F508" s="103">
        <f>SUM(F509:F510)+53</f>
        <v>53</v>
      </c>
      <c r="G508" s="103">
        <f>SUM(G509:G510)+53</f>
        <v>53</v>
      </c>
      <c r="H508" s="103">
        <f>SUM(H509:H510)+55</f>
        <v>55</v>
      </c>
      <c r="I508" s="11" t="s">
        <v>896</v>
      </c>
      <c r="J508" s="13" t="s">
        <v>97</v>
      </c>
      <c r="K508" s="13">
        <v>25</v>
      </c>
      <c r="L508" s="13">
        <v>26</v>
      </c>
      <c r="M508" s="24">
        <v>26</v>
      </c>
    </row>
    <row r="509" spans="1:13" x14ac:dyDescent="0.25">
      <c r="A509" s="71"/>
      <c r="B509" s="74"/>
      <c r="C509" s="74"/>
      <c r="D509" s="85"/>
      <c r="E509" s="85"/>
      <c r="F509" s="108"/>
      <c r="G509" s="108"/>
      <c r="H509" s="108"/>
      <c r="I509" s="8" t="s">
        <v>897</v>
      </c>
      <c r="J509" s="9" t="s">
        <v>22</v>
      </c>
      <c r="K509" s="9">
        <v>10</v>
      </c>
      <c r="L509" s="9">
        <v>10</v>
      </c>
      <c r="M509" s="23">
        <v>10</v>
      </c>
    </row>
    <row r="510" spans="1:13" ht="15.75" thickBot="1" x14ac:dyDescent="0.3">
      <c r="A510" s="72"/>
      <c r="B510" s="75"/>
      <c r="C510" s="75"/>
      <c r="D510" s="86"/>
      <c r="E510" s="86"/>
      <c r="F510" s="104"/>
      <c r="G510" s="104"/>
      <c r="H510" s="104"/>
      <c r="I510" s="8" t="s">
        <v>898</v>
      </c>
      <c r="J510" s="9" t="s">
        <v>97</v>
      </c>
      <c r="K510" s="9">
        <v>14</v>
      </c>
      <c r="L510" s="9">
        <v>14</v>
      </c>
      <c r="M510" s="23">
        <v>14</v>
      </c>
    </row>
    <row r="511" spans="1:13" ht="60.75" thickBot="1" x14ac:dyDescent="0.3">
      <c r="A511" s="10" t="s">
        <v>899</v>
      </c>
      <c r="B511" s="11" t="s">
        <v>900</v>
      </c>
      <c r="C511" s="12" t="s">
        <v>854</v>
      </c>
      <c r="D511" s="11" t="s">
        <v>42</v>
      </c>
      <c r="E511" s="11"/>
      <c r="F511" s="56">
        <v>40</v>
      </c>
      <c r="G511" s="56">
        <v>40</v>
      </c>
      <c r="H511" s="56">
        <v>40</v>
      </c>
      <c r="I511" s="11" t="s">
        <v>901</v>
      </c>
      <c r="J511" s="13" t="s">
        <v>97</v>
      </c>
      <c r="K511" s="13">
        <v>270</v>
      </c>
      <c r="L511" s="13">
        <v>350</v>
      </c>
      <c r="M511" s="24">
        <v>420</v>
      </c>
    </row>
    <row r="512" spans="1:13" ht="45" x14ac:dyDescent="0.25">
      <c r="A512" s="70" t="s">
        <v>902</v>
      </c>
      <c r="B512" s="73" t="s">
        <v>903</v>
      </c>
      <c r="C512" s="73" t="s">
        <v>854</v>
      </c>
      <c r="D512" s="84" t="s">
        <v>42</v>
      </c>
      <c r="E512" s="84"/>
      <c r="F512" s="103">
        <f>SUM(F513:F514)+66</f>
        <v>66</v>
      </c>
      <c r="G512" s="103">
        <f>SUM(G513:G514)+72.6</f>
        <v>72.599999999999994</v>
      </c>
      <c r="H512" s="103">
        <f>SUM(H513:H514)+80</f>
        <v>80</v>
      </c>
      <c r="I512" s="11" t="s">
        <v>904</v>
      </c>
      <c r="J512" s="13" t="s">
        <v>27</v>
      </c>
      <c r="K512" s="13">
        <v>14.6</v>
      </c>
      <c r="L512" s="13">
        <v>14.9</v>
      </c>
      <c r="M512" s="24">
        <v>15.2</v>
      </c>
    </row>
    <row r="513" spans="1:13" ht="45" x14ac:dyDescent="0.25">
      <c r="A513" s="71"/>
      <c r="B513" s="74"/>
      <c r="C513" s="74"/>
      <c r="D513" s="85"/>
      <c r="E513" s="85"/>
      <c r="F513" s="108"/>
      <c r="G513" s="108"/>
      <c r="H513" s="108"/>
      <c r="I513" s="8" t="s">
        <v>905</v>
      </c>
      <c r="J513" s="9" t="s">
        <v>97</v>
      </c>
      <c r="K513" s="9">
        <v>147</v>
      </c>
      <c r="L513" s="9">
        <v>152</v>
      </c>
      <c r="M513" s="23">
        <v>157</v>
      </c>
    </row>
    <row r="514" spans="1:13" ht="45.75" thickBot="1" x14ac:dyDescent="0.3">
      <c r="A514" s="72"/>
      <c r="B514" s="75"/>
      <c r="C514" s="75"/>
      <c r="D514" s="86"/>
      <c r="E514" s="86"/>
      <c r="F514" s="104"/>
      <c r="G514" s="104"/>
      <c r="H514" s="104"/>
      <c r="I514" s="8" t="s">
        <v>906</v>
      </c>
      <c r="J514" s="9" t="s">
        <v>22</v>
      </c>
      <c r="K514" s="9">
        <v>1</v>
      </c>
      <c r="L514" s="9">
        <v>1</v>
      </c>
      <c r="M514" s="23">
        <v>1</v>
      </c>
    </row>
    <row r="515" spans="1:13" ht="45.75" thickBot="1" x14ac:dyDescent="0.3">
      <c r="A515" s="10" t="s">
        <v>907</v>
      </c>
      <c r="B515" s="11" t="s">
        <v>908</v>
      </c>
      <c r="C515" s="12" t="s">
        <v>909</v>
      </c>
      <c r="D515" s="11" t="s">
        <v>42</v>
      </c>
      <c r="E515" s="11"/>
      <c r="F515" s="56">
        <v>80.400000000000006</v>
      </c>
      <c r="G515" s="56">
        <v>80</v>
      </c>
      <c r="H515" s="56">
        <v>90</v>
      </c>
      <c r="I515" s="11" t="s">
        <v>910</v>
      </c>
      <c r="J515" s="13" t="s">
        <v>27</v>
      </c>
      <c r="K515" s="13">
        <v>18.399999999999999</v>
      </c>
      <c r="L515" s="13">
        <v>18.5</v>
      </c>
      <c r="M515" s="24">
        <v>18.600000000000001</v>
      </c>
    </row>
    <row r="516" spans="1:13" ht="17.25" customHeight="1" x14ac:dyDescent="0.25">
      <c r="A516" s="76" t="s">
        <v>911</v>
      </c>
      <c r="B516" s="78" t="s">
        <v>912</v>
      </c>
      <c r="C516" s="79"/>
      <c r="D516" s="79"/>
      <c r="E516" s="80"/>
      <c r="F516" s="121">
        <f>F517+F518+F519+F523+F524+F525</f>
        <v>9695.5</v>
      </c>
      <c r="G516" s="121">
        <f>G517+G518+G519+G523+G524+G525</f>
        <v>8480.5</v>
      </c>
      <c r="H516" s="121">
        <f>H517+H518+H519+H523+H524+H525</f>
        <v>5178.8</v>
      </c>
      <c r="I516" s="64" t="s">
        <v>913</v>
      </c>
      <c r="J516" s="7" t="s">
        <v>22</v>
      </c>
      <c r="K516" s="7">
        <v>12</v>
      </c>
      <c r="L516" s="7">
        <v>13</v>
      </c>
      <c r="M516" s="25">
        <v>15</v>
      </c>
    </row>
    <row r="517" spans="1:13" ht="30" x14ac:dyDescent="0.25">
      <c r="A517" s="94"/>
      <c r="B517" s="95"/>
      <c r="C517" s="96"/>
      <c r="D517" s="96"/>
      <c r="E517" s="97"/>
      <c r="F517" s="144"/>
      <c r="G517" s="144"/>
      <c r="H517" s="144"/>
      <c r="I517" s="65" t="s">
        <v>914</v>
      </c>
      <c r="J517" s="34" t="s">
        <v>22</v>
      </c>
      <c r="K517" s="34">
        <v>20</v>
      </c>
      <c r="L517" s="34">
        <v>20</v>
      </c>
      <c r="M517" s="35">
        <v>21</v>
      </c>
    </row>
    <row r="518" spans="1:13" ht="30.75" thickBot="1" x14ac:dyDescent="0.3">
      <c r="A518" s="77"/>
      <c r="B518" s="81"/>
      <c r="C518" s="82"/>
      <c r="D518" s="82"/>
      <c r="E518" s="83"/>
      <c r="F518" s="122"/>
      <c r="G518" s="122"/>
      <c r="H518" s="122"/>
      <c r="I518" s="65" t="s">
        <v>915</v>
      </c>
      <c r="J518" s="34" t="s">
        <v>27</v>
      </c>
      <c r="K518" s="34">
        <v>68.75</v>
      </c>
      <c r="L518" s="34">
        <v>75</v>
      </c>
      <c r="M518" s="35">
        <v>75</v>
      </c>
    </row>
    <row r="519" spans="1:13" ht="49.5" customHeight="1" x14ac:dyDescent="0.25">
      <c r="A519" s="70" t="s">
        <v>916</v>
      </c>
      <c r="B519" s="73" t="s">
        <v>917</v>
      </c>
      <c r="C519" s="73" t="s">
        <v>918</v>
      </c>
      <c r="D519" s="11"/>
      <c r="E519" s="11" t="s">
        <v>519</v>
      </c>
      <c r="F519" s="52">
        <f>SUM(F520:F522)</f>
        <v>8625.5</v>
      </c>
      <c r="G519" s="52">
        <f>SUM(G520:G522)</f>
        <v>7280.5</v>
      </c>
      <c r="H519" s="52">
        <f>SUM(H520:H522)</f>
        <v>3678.8</v>
      </c>
      <c r="I519" s="11" t="s">
        <v>919</v>
      </c>
      <c r="J519" s="13" t="s">
        <v>27</v>
      </c>
      <c r="K519" s="13">
        <v>40</v>
      </c>
      <c r="L519" s="13">
        <v>80</v>
      </c>
      <c r="M519" s="24">
        <v>100</v>
      </c>
    </row>
    <row r="520" spans="1:13" x14ac:dyDescent="0.25">
      <c r="A520" s="71"/>
      <c r="B520" s="74"/>
      <c r="C520" s="74"/>
      <c r="D520" s="8" t="s">
        <v>42</v>
      </c>
      <c r="E520" s="8"/>
      <c r="F520" s="44">
        <v>4995.5</v>
      </c>
      <c r="G520" s="44">
        <v>1230.5</v>
      </c>
      <c r="H520" s="44">
        <v>1273.4000000000001</v>
      </c>
      <c r="I520" s="8" t="s">
        <v>920</v>
      </c>
      <c r="J520" s="9" t="s">
        <v>27</v>
      </c>
      <c r="K520" s="9"/>
      <c r="L520" s="9"/>
      <c r="M520" s="23">
        <v>100</v>
      </c>
    </row>
    <row r="521" spans="1:13" x14ac:dyDescent="0.25">
      <c r="A521" s="71"/>
      <c r="B521" s="74"/>
      <c r="C521" s="74"/>
      <c r="D521" s="8" t="s">
        <v>28</v>
      </c>
      <c r="E521" s="8"/>
      <c r="F521" s="44">
        <v>630</v>
      </c>
      <c r="G521" s="44">
        <v>1050</v>
      </c>
      <c r="H521" s="44">
        <v>416</v>
      </c>
      <c r="I521" s="8"/>
      <c r="J521" s="9"/>
      <c r="K521" s="9"/>
      <c r="L521" s="9"/>
      <c r="M521" s="23"/>
    </row>
    <row r="522" spans="1:13" ht="15.75" thickBot="1" x14ac:dyDescent="0.3">
      <c r="A522" s="72"/>
      <c r="B522" s="75"/>
      <c r="C522" s="75"/>
      <c r="D522" s="8" t="s">
        <v>30</v>
      </c>
      <c r="E522" s="8"/>
      <c r="F522" s="44">
        <v>3000</v>
      </c>
      <c r="G522" s="44">
        <v>5000</v>
      </c>
      <c r="H522" s="44">
        <v>1989.4</v>
      </c>
      <c r="I522" s="8"/>
      <c r="J522" s="9"/>
      <c r="K522" s="9"/>
      <c r="L522" s="9"/>
      <c r="M522" s="23"/>
    </row>
    <row r="523" spans="1:13" ht="30.75" thickBot="1" x14ac:dyDescent="0.3">
      <c r="A523" s="10" t="s">
        <v>921</v>
      </c>
      <c r="B523" s="11" t="s">
        <v>922</v>
      </c>
      <c r="C523" s="12" t="s">
        <v>923</v>
      </c>
      <c r="D523" s="11" t="s">
        <v>42</v>
      </c>
      <c r="E523" s="11" t="s">
        <v>519</v>
      </c>
      <c r="F523" s="56">
        <v>500</v>
      </c>
      <c r="G523" s="56">
        <v>1200</v>
      </c>
      <c r="H523" s="56">
        <v>1200</v>
      </c>
      <c r="I523" s="11" t="s">
        <v>924</v>
      </c>
      <c r="J523" s="13" t="s">
        <v>27</v>
      </c>
      <c r="K523" s="13">
        <v>20</v>
      </c>
      <c r="L523" s="13">
        <v>60</v>
      </c>
      <c r="M523" s="24">
        <v>100</v>
      </c>
    </row>
    <row r="524" spans="1:13" ht="45.75" thickBot="1" x14ac:dyDescent="0.3">
      <c r="A524" s="10" t="s">
        <v>925</v>
      </c>
      <c r="B524" s="11" t="s">
        <v>926</v>
      </c>
      <c r="C524" s="12" t="s">
        <v>927</v>
      </c>
      <c r="D524" s="11" t="s">
        <v>42</v>
      </c>
      <c r="E524" s="67" t="s">
        <v>519</v>
      </c>
      <c r="F524" s="56">
        <v>70</v>
      </c>
      <c r="G524" s="56">
        <v>0</v>
      </c>
      <c r="H524" s="56">
        <v>0</v>
      </c>
      <c r="I524" s="11" t="s">
        <v>325</v>
      </c>
      <c r="J524" s="13" t="s">
        <v>22</v>
      </c>
      <c r="K524" s="13">
        <v>1</v>
      </c>
      <c r="L524" s="13"/>
      <c r="M524" s="24"/>
    </row>
    <row r="525" spans="1:13" ht="30" x14ac:dyDescent="0.25">
      <c r="A525" s="70" t="s">
        <v>928</v>
      </c>
      <c r="B525" s="73" t="s">
        <v>929</v>
      </c>
      <c r="C525" s="73" t="s">
        <v>923</v>
      </c>
      <c r="D525" s="11"/>
      <c r="E525" s="11" t="s">
        <v>519</v>
      </c>
      <c r="F525" s="52">
        <f>SUM(F526:F527)</f>
        <v>500</v>
      </c>
      <c r="G525" s="52">
        <f>SUM(G526:G527)</f>
        <v>0</v>
      </c>
      <c r="H525" s="52">
        <f>SUM(H526:H527)</f>
        <v>300</v>
      </c>
      <c r="I525" s="11" t="s">
        <v>930</v>
      </c>
      <c r="J525" s="13" t="s">
        <v>27</v>
      </c>
      <c r="K525" s="13">
        <v>100</v>
      </c>
      <c r="L525" s="13"/>
      <c r="M525" s="24"/>
    </row>
    <row r="526" spans="1:13" ht="30" x14ac:dyDescent="0.25">
      <c r="A526" s="71"/>
      <c r="B526" s="74"/>
      <c r="C526" s="74"/>
      <c r="D526" s="8" t="s">
        <v>42</v>
      </c>
      <c r="E526" s="8"/>
      <c r="F526" s="44">
        <v>221</v>
      </c>
      <c r="G526" s="44">
        <v>0</v>
      </c>
      <c r="H526" s="44">
        <v>300</v>
      </c>
      <c r="I526" s="8" t="s">
        <v>931</v>
      </c>
      <c r="J526" s="9" t="s">
        <v>22</v>
      </c>
      <c r="K526" s="9"/>
      <c r="L526" s="9"/>
      <c r="M526" s="23">
        <v>1</v>
      </c>
    </row>
    <row r="527" spans="1:13" ht="15.75" thickBot="1" x14ac:dyDescent="0.3">
      <c r="A527" s="72"/>
      <c r="B527" s="75"/>
      <c r="C527" s="75"/>
      <c r="D527" s="8" t="s">
        <v>28</v>
      </c>
      <c r="E527" s="8"/>
      <c r="F527" s="44">
        <v>279</v>
      </c>
      <c r="G527" s="44"/>
      <c r="H527" s="44"/>
      <c r="I527" s="8"/>
      <c r="J527" s="9"/>
      <c r="K527" s="9"/>
      <c r="L527" s="9"/>
      <c r="M527" s="23"/>
    </row>
    <row r="528" spans="1:13" ht="30" customHeight="1" thickBot="1" x14ac:dyDescent="0.3">
      <c r="A528" s="4" t="s">
        <v>932</v>
      </c>
      <c r="B528" s="5" t="s">
        <v>933</v>
      </c>
      <c r="C528" s="91" t="s">
        <v>934</v>
      </c>
      <c r="D528" s="92"/>
      <c r="E528" s="93"/>
      <c r="F528" s="53">
        <f>F529+F573+F632+F643</f>
        <v>158417.79999999999</v>
      </c>
      <c r="G528" s="53">
        <f>G529+G573+G632+G643</f>
        <v>159761.60000000003</v>
      </c>
      <c r="H528" s="53">
        <f>H529+H573+H632+H643</f>
        <v>158426.6</v>
      </c>
      <c r="I528" s="88"/>
      <c r="J528" s="89"/>
      <c r="K528" s="89"/>
      <c r="L528" s="89"/>
      <c r="M528" s="90"/>
    </row>
    <row r="529" spans="1:13" x14ac:dyDescent="0.25">
      <c r="A529" s="76" t="s">
        <v>935</v>
      </c>
      <c r="B529" s="78" t="s">
        <v>936</v>
      </c>
      <c r="C529" s="79"/>
      <c r="D529" s="79"/>
      <c r="E529" s="80"/>
      <c r="F529" s="121">
        <f>F530+F531+F532+F539+F540+F544+F550+F558+F560+F563+F565+F568+F569+F572</f>
        <v>2045.1000000000001</v>
      </c>
      <c r="G529" s="121">
        <f>G530+G531+G532+G539+G540+G544+G550+G558+G560+G563+G565+G568+G569+G572</f>
        <v>2076.8999999999996</v>
      </c>
      <c r="H529" s="121">
        <f>H530+H531+H532+H539+H540+H544+H550+H558+H560+H563+H565+H568+H569+H572</f>
        <v>2066.3000000000002</v>
      </c>
      <c r="I529" s="64" t="s">
        <v>937</v>
      </c>
      <c r="J529" s="7" t="s">
        <v>27</v>
      </c>
      <c r="K529" s="7">
        <v>93</v>
      </c>
      <c r="L529" s="7">
        <v>93</v>
      </c>
      <c r="M529" s="25">
        <v>93</v>
      </c>
    </row>
    <row r="530" spans="1:13" ht="45" x14ac:dyDescent="0.25">
      <c r="A530" s="94"/>
      <c r="B530" s="95"/>
      <c r="C530" s="96"/>
      <c r="D530" s="96"/>
      <c r="E530" s="97"/>
      <c r="F530" s="144"/>
      <c r="G530" s="144"/>
      <c r="H530" s="144"/>
      <c r="I530" s="65" t="s">
        <v>938</v>
      </c>
      <c r="J530" s="34" t="s">
        <v>27</v>
      </c>
      <c r="K530" s="34">
        <v>68</v>
      </c>
      <c r="L530" s="34">
        <v>68</v>
      </c>
      <c r="M530" s="35">
        <v>68</v>
      </c>
    </row>
    <row r="531" spans="1:13" ht="30.75" thickBot="1" x14ac:dyDescent="0.3">
      <c r="A531" s="77"/>
      <c r="B531" s="81"/>
      <c r="C531" s="82"/>
      <c r="D531" s="82"/>
      <c r="E531" s="83"/>
      <c r="F531" s="122"/>
      <c r="G531" s="122"/>
      <c r="H531" s="122"/>
      <c r="I531" s="65" t="s">
        <v>939</v>
      </c>
      <c r="J531" s="34" t="s">
        <v>97</v>
      </c>
      <c r="K531" s="34">
        <v>0.85</v>
      </c>
      <c r="L531" s="34">
        <v>0.85</v>
      </c>
      <c r="M531" s="35">
        <v>0.85</v>
      </c>
    </row>
    <row r="532" spans="1:13" x14ac:dyDescent="0.25">
      <c r="A532" s="70" t="s">
        <v>940</v>
      </c>
      <c r="B532" s="73" t="s">
        <v>941</v>
      </c>
      <c r="C532" s="73" t="s">
        <v>934</v>
      </c>
      <c r="D532" s="84" t="s">
        <v>42</v>
      </c>
      <c r="E532" s="84"/>
      <c r="F532" s="103">
        <f>SUM(F533:F538)+264</f>
        <v>264</v>
      </c>
      <c r="G532" s="103">
        <f>SUM(G533:G538)+300.1</f>
        <v>300.10000000000002</v>
      </c>
      <c r="H532" s="103">
        <f>SUM(H533:H538)+285.2</f>
        <v>285.2</v>
      </c>
      <c r="I532" s="11" t="s">
        <v>942</v>
      </c>
      <c r="J532" s="13" t="s">
        <v>22</v>
      </c>
      <c r="K532" s="13">
        <v>6</v>
      </c>
      <c r="L532" s="13">
        <v>6</v>
      </c>
      <c r="M532" s="24">
        <v>6</v>
      </c>
    </row>
    <row r="533" spans="1:13" x14ac:dyDescent="0.25">
      <c r="A533" s="71"/>
      <c r="B533" s="74"/>
      <c r="C533" s="74"/>
      <c r="D533" s="85"/>
      <c r="E533" s="85"/>
      <c r="F533" s="108"/>
      <c r="G533" s="108"/>
      <c r="H533" s="108"/>
      <c r="I533" s="8" t="s">
        <v>943</v>
      </c>
      <c r="J533" s="9" t="s">
        <v>97</v>
      </c>
      <c r="K533" s="9">
        <v>100</v>
      </c>
      <c r="L533" s="9">
        <v>100</v>
      </c>
      <c r="M533" s="23">
        <v>100</v>
      </c>
    </row>
    <row r="534" spans="1:13" x14ac:dyDescent="0.25">
      <c r="A534" s="71"/>
      <c r="B534" s="74"/>
      <c r="C534" s="74"/>
      <c r="D534" s="85"/>
      <c r="E534" s="85"/>
      <c r="F534" s="108"/>
      <c r="G534" s="108"/>
      <c r="H534" s="108"/>
      <c r="I534" s="8" t="s">
        <v>944</v>
      </c>
      <c r="J534" s="9" t="s">
        <v>22</v>
      </c>
      <c r="K534" s="9">
        <v>10</v>
      </c>
      <c r="L534" s="9">
        <v>10</v>
      </c>
      <c r="M534" s="23">
        <v>10</v>
      </c>
    </row>
    <row r="535" spans="1:13" ht="30" x14ac:dyDescent="0.25">
      <c r="A535" s="71"/>
      <c r="B535" s="74"/>
      <c r="C535" s="74"/>
      <c r="D535" s="85"/>
      <c r="E535" s="85"/>
      <c r="F535" s="108"/>
      <c r="G535" s="108"/>
      <c r="H535" s="108"/>
      <c r="I535" s="8" t="s">
        <v>945</v>
      </c>
      <c r="J535" s="9" t="s">
        <v>97</v>
      </c>
      <c r="K535" s="9">
        <v>100</v>
      </c>
      <c r="L535" s="9">
        <v>100</v>
      </c>
      <c r="M535" s="23">
        <v>100</v>
      </c>
    </row>
    <row r="536" spans="1:13" x14ac:dyDescent="0.25">
      <c r="A536" s="71"/>
      <c r="B536" s="74"/>
      <c r="C536" s="74"/>
      <c r="D536" s="85"/>
      <c r="E536" s="85"/>
      <c r="F536" s="108"/>
      <c r="G536" s="108"/>
      <c r="H536" s="108"/>
      <c r="I536" s="8" t="s">
        <v>946</v>
      </c>
      <c r="J536" s="9" t="s">
        <v>97</v>
      </c>
      <c r="K536" s="9">
        <v>360</v>
      </c>
      <c r="L536" s="9">
        <v>360</v>
      </c>
      <c r="M536" s="23">
        <v>360</v>
      </c>
    </row>
    <row r="537" spans="1:13" x14ac:dyDescent="0.25">
      <c r="A537" s="71"/>
      <c r="B537" s="74"/>
      <c r="C537" s="74"/>
      <c r="D537" s="85"/>
      <c r="E537" s="85"/>
      <c r="F537" s="108"/>
      <c r="G537" s="108"/>
      <c r="H537" s="108"/>
      <c r="I537" s="8" t="s">
        <v>947</v>
      </c>
      <c r="J537" s="9" t="s">
        <v>97</v>
      </c>
      <c r="K537" s="26">
        <v>1100</v>
      </c>
      <c r="L537" s="26">
        <v>1100</v>
      </c>
      <c r="M537" s="27">
        <v>1100</v>
      </c>
    </row>
    <row r="538" spans="1:13" ht="30.75" thickBot="1" x14ac:dyDescent="0.3">
      <c r="A538" s="72"/>
      <c r="B538" s="75"/>
      <c r="C538" s="75"/>
      <c r="D538" s="86"/>
      <c r="E538" s="86"/>
      <c r="F538" s="104"/>
      <c r="G538" s="104"/>
      <c r="H538" s="104"/>
      <c r="I538" s="8" t="s">
        <v>948</v>
      </c>
      <c r="J538" s="9" t="s">
        <v>97</v>
      </c>
      <c r="K538" s="26">
        <v>1000</v>
      </c>
      <c r="L538" s="26">
        <v>1000</v>
      </c>
      <c r="M538" s="27">
        <v>1000</v>
      </c>
    </row>
    <row r="539" spans="1:13" ht="30.75" thickBot="1" x14ac:dyDescent="0.3">
      <c r="A539" s="10" t="s">
        <v>949</v>
      </c>
      <c r="B539" s="11" t="s">
        <v>950</v>
      </c>
      <c r="C539" s="12" t="s">
        <v>934</v>
      </c>
      <c r="D539" s="11" t="s">
        <v>42</v>
      </c>
      <c r="E539" s="11"/>
      <c r="F539" s="56">
        <v>196.1</v>
      </c>
      <c r="G539" s="56">
        <v>197</v>
      </c>
      <c r="H539" s="56">
        <v>197</v>
      </c>
      <c r="I539" s="11" t="s">
        <v>951</v>
      </c>
      <c r="J539" s="13" t="s">
        <v>22</v>
      </c>
      <c r="K539" s="13">
        <v>30</v>
      </c>
      <c r="L539" s="13">
        <v>30</v>
      </c>
      <c r="M539" s="24">
        <v>30</v>
      </c>
    </row>
    <row r="540" spans="1:13" x14ac:dyDescent="0.25">
      <c r="A540" s="70" t="s">
        <v>952</v>
      </c>
      <c r="B540" s="73" t="s">
        <v>953</v>
      </c>
      <c r="C540" s="73" t="s">
        <v>934</v>
      </c>
      <c r="D540" s="84" t="s">
        <v>42</v>
      </c>
      <c r="E540" s="84"/>
      <c r="F540" s="103">
        <f>SUM(F541:F543)+7</f>
        <v>7</v>
      </c>
      <c r="G540" s="103">
        <f>SUM(G541:G543)+7</f>
        <v>7</v>
      </c>
      <c r="H540" s="103">
        <f>SUM(H541:H543)+7</f>
        <v>7</v>
      </c>
      <c r="I540" s="11" t="s">
        <v>954</v>
      </c>
      <c r="J540" s="13" t="s">
        <v>22</v>
      </c>
      <c r="K540" s="13">
        <v>1</v>
      </c>
      <c r="L540" s="13">
        <v>1</v>
      </c>
      <c r="M540" s="24">
        <v>1</v>
      </c>
    </row>
    <row r="541" spans="1:13" ht="16.5" customHeight="1" x14ac:dyDescent="0.25">
      <c r="A541" s="71"/>
      <c r="B541" s="74"/>
      <c r="C541" s="74"/>
      <c r="D541" s="85"/>
      <c r="E541" s="85"/>
      <c r="F541" s="108"/>
      <c r="G541" s="108"/>
      <c r="H541" s="108"/>
      <c r="I541" s="8" t="s">
        <v>955</v>
      </c>
      <c r="J541" s="9" t="s">
        <v>22</v>
      </c>
      <c r="K541" s="9">
        <v>1</v>
      </c>
      <c r="L541" s="9">
        <v>1</v>
      </c>
      <c r="M541" s="23">
        <v>1</v>
      </c>
    </row>
    <row r="542" spans="1:13" x14ac:dyDescent="0.25">
      <c r="A542" s="71"/>
      <c r="B542" s="74"/>
      <c r="C542" s="74"/>
      <c r="D542" s="85"/>
      <c r="E542" s="85"/>
      <c r="F542" s="108"/>
      <c r="G542" s="108"/>
      <c r="H542" s="108"/>
      <c r="I542" s="8" t="s">
        <v>956</v>
      </c>
      <c r="J542" s="9" t="s">
        <v>22</v>
      </c>
      <c r="K542" s="9">
        <v>1</v>
      </c>
      <c r="L542" s="9">
        <v>1</v>
      </c>
      <c r="M542" s="23">
        <v>1</v>
      </c>
    </row>
    <row r="543" spans="1:13" ht="15.75" thickBot="1" x14ac:dyDescent="0.3">
      <c r="A543" s="72"/>
      <c r="B543" s="75"/>
      <c r="C543" s="75"/>
      <c r="D543" s="86"/>
      <c r="E543" s="86"/>
      <c r="F543" s="104"/>
      <c r="G543" s="104"/>
      <c r="H543" s="104"/>
      <c r="I543" s="8" t="s">
        <v>957</v>
      </c>
      <c r="J543" s="9" t="s">
        <v>22</v>
      </c>
      <c r="K543" s="9">
        <v>1</v>
      </c>
      <c r="L543" s="9">
        <v>1</v>
      </c>
      <c r="M543" s="23">
        <v>1</v>
      </c>
    </row>
    <row r="544" spans="1:13" ht="30" x14ac:dyDescent="0.25">
      <c r="A544" s="70" t="s">
        <v>958</v>
      </c>
      <c r="B544" s="73" t="s">
        <v>959</v>
      </c>
      <c r="C544" s="73" t="s">
        <v>934</v>
      </c>
      <c r="D544" s="84" t="s">
        <v>42</v>
      </c>
      <c r="E544" s="84"/>
      <c r="F544" s="103">
        <f>SUM(F545:F549)+145</f>
        <v>145</v>
      </c>
      <c r="G544" s="103">
        <f>SUM(G545:G549)+150</f>
        <v>150</v>
      </c>
      <c r="H544" s="103">
        <f>SUM(H545:H549)+150</f>
        <v>150</v>
      </c>
      <c r="I544" s="11" t="s">
        <v>960</v>
      </c>
      <c r="J544" s="13" t="s">
        <v>27</v>
      </c>
      <c r="K544" s="13">
        <v>17.5</v>
      </c>
      <c r="L544" s="13">
        <v>17.5</v>
      </c>
      <c r="M544" s="24">
        <v>17.5</v>
      </c>
    </row>
    <row r="545" spans="1:13" x14ac:dyDescent="0.25">
      <c r="A545" s="71"/>
      <c r="B545" s="74"/>
      <c r="C545" s="74"/>
      <c r="D545" s="85"/>
      <c r="E545" s="85"/>
      <c r="F545" s="108"/>
      <c r="G545" s="108"/>
      <c r="H545" s="108"/>
      <c r="I545" s="8" t="s">
        <v>961</v>
      </c>
      <c r="J545" s="9" t="s">
        <v>22</v>
      </c>
      <c r="K545" s="9">
        <v>9</v>
      </c>
      <c r="L545" s="9">
        <v>9</v>
      </c>
      <c r="M545" s="23">
        <v>9</v>
      </c>
    </row>
    <row r="546" spans="1:13" ht="30" x14ac:dyDescent="0.25">
      <c r="A546" s="71"/>
      <c r="B546" s="74"/>
      <c r="C546" s="74"/>
      <c r="D546" s="85"/>
      <c r="E546" s="85"/>
      <c r="F546" s="108"/>
      <c r="G546" s="108"/>
      <c r="H546" s="108"/>
      <c r="I546" s="8" t="s">
        <v>962</v>
      </c>
      <c r="J546" s="9" t="s">
        <v>27</v>
      </c>
      <c r="K546" s="9">
        <v>42.4</v>
      </c>
      <c r="L546" s="9">
        <v>42.4</v>
      </c>
      <c r="M546" s="23">
        <v>42.4</v>
      </c>
    </row>
    <row r="547" spans="1:13" ht="18" customHeight="1" x14ac:dyDescent="0.25">
      <c r="A547" s="71"/>
      <c r="B547" s="74"/>
      <c r="C547" s="74"/>
      <c r="D547" s="85"/>
      <c r="E547" s="85"/>
      <c r="F547" s="108"/>
      <c r="G547" s="108"/>
      <c r="H547" s="108"/>
      <c r="I547" s="8" t="s">
        <v>963</v>
      </c>
      <c r="J547" s="9" t="s">
        <v>22</v>
      </c>
      <c r="K547" s="9">
        <v>19</v>
      </c>
      <c r="L547" s="9">
        <v>19</v>
      </c>
      <c r="M547" s="23">
        <v>19</v>
      </c>
    </row>
    <row r="548" spans="1:13" x14ac:dyDescent="0.25">
      <c r="A548" s="71"/>
      <c r="B548" s="74"/>
      <c r="C548" s="74"/>
      <c r="D548" s="85"/>
      <c r="E548" s="85"/>
      <c r="F548" s="108"/>
      <c r="G548" s="108"/>
      <c r="H548" s="108"/>
      <c r="I548" s="8" t="s">
        <v>964</v>
      </c>
      <c r="J548" s="9" t="s">
        <v>22</v>
      </c>
      <c r="K548" s="9">
        <v>93</v>
      </c>
      <c r="L548" s="9">
        <v>93</v>
      </c>
      <c r="M548" s="23">
        <v>93</v>
      </c>
    </row>
    <row r="549" spans="1:13" ht="15.75" thickBot="1" x14ac:dyDescent="0.3">
      <c r="A549" s="72"/>
      <c r="B549" s="75"/>
      <c r="C549" s="75"/>
      <c r="D549" s="86"/>
      <c r="E549" s="86"/>
      <c r="F549" s="104"/>
      <c r="G549" s="104"/>
      <c r="H549" s="104"/>
      <c r="I549" s="8" t="s">
        <v>965</v>
      </c>
      <c r="J549" s="9" t="s">
        <v>22</v>
      </c>
      <c r="K549" s="9">
        <v>2</v>
      </c>
      <c r="L549" s="9">
        <v>2</v>
      </c>
      <c r="M549" s="23">
        <v>2</v>
      </c>
    </row>
    <row r="550" spans="1:13" ht="45.75" customHeight="1" x14ac:dyDescent="0.25">
      <c r="A550" s="70" t="s">
        <v>966</v>
      </c>
      <c r="B550" s="73" t="s">
        <v>967</v>
      </c>
      <c r="C550" s="73" t="s">
        <v>934</v>
      </c>
      <c r="D550" s="84" t="s">
        <v>42</v>
      </c>
      <c r="E550" s="84"/>
      <c r="F550" s="103">
        <f>SUM(F551:F557)+384.7</f>
        <v>384.7</v>
      </c>
      <c r="G550" s="103">
        <f>SUM(G551:G557)+385</f>
        <v>385</v>
      </c>
      <c r="H550" s="103">
        <f>SUM(H551:H557)+388</f>
        <v>388</v>
      </c>
      <c r="I550" s="11" t="s">
        <v>968</v>
      </c>
      <c r="J550" s="13" t="s">
        <v>22</v>
      </c>
      <c r="K550" s="13">
        <v>6</v>
      </c>
      <c r="L550" s="13">
        <v>6</v>
      </c>
      <c r="M550" s="24">
        <v>6</v>
      </c>
    </row>
    <row r="551" spans="1:13" ht="30" x14ac:dyDescent="0.25">
      <c r="A551" s="71"/>
      <c r="B551" s="74"/>
      <c r="C551" s="74"/>
      <c r="D551" s="85"/>
      <c r="E551" s="85"/>
      <c r="F551" s="108"/>
      <c r="G551" s="108"/>
      <c r="H551" s="108"/>
      <c r="I551" s="8" t="s">
        <v>969</v>
      </c>
      <c r="J551" s="9" t="s">
        <v>22</v>
      </c>
      <c r="K551" s="9">
        <v>1</v>
      </c>
      <c r="L551" s="9">
        <v>1</v>
      </c>
      <c r="M551" s="23">
        <v>1</v>
      </c>
    </row>
    <row r="552" spans="1:13" x14ac:dyDescent="0.25">
      <c r="A552" s="71"/>
      <c r="B552" s="74"/>
      <c r="C552" s="74"/>
      <c r="D552" s="85"/>
      <c r="E552" s="85"/>
      <c r="F552" s="108"/>
      <c r="G552" s="108"/>
      <c r="H552" s="108"/>
      <c r="I552" s="8" t="s">
        <v>970</v>
      </c>
      <c r="J552" s="9" t="s">
        <v>22</v>
      </c>
      <c r="K552" s="9">
        <v>2</v>
      </c>
      <c r="L552" s="9">
        <v>2</v>
      </c>
      <c r="M552" s="23">
        <v>2</v>
      </c>
    </row>
    <row r="553" spans="1:13" x14ac:dyDescent="0.25">
      <c r="A553" s="71"/>
      <c r="B553" s="74"/>
      <c r="C553" s="74"/>
      <c r="D553" s="85"/>
      <c r="E553" s="85"/>
      <c r="F553" s="108"/>
      <c r="G553" s="108"/>
      <c r="H553" s="108"/>
      <c r="I553" s="8" t="s">
        <v>971</v>
      </c>
      <c r="J553" s="9" t="s">
        <v>97</v>
      </c>
      <c r="K553" s="9">
        <v>65</v>
      </c>
      <c r="L553" s="9">
        <v>65</v>
      </c>
      <c r="M553" s="23">
        <v>65</v>
      </c>
    </row>
    <row r="554" spans="1:13" ht="30" x14ac:dyDescent="0.25">
      <c r="A554" s="71"/>
      <c r="B554" s="74"/>
      <c r="C554" s="74"/>
      <c r="D554" s="85"/>
      <c r="E554" s="85"/>
      <c r="F554" s="108"/>
      <c r="G554" s="108"/>
      <c r="H554" s="108"/>
      <c r="I554" s="8" t="s">
        <v>972</v>
      </c>
      <c r="J554" s="9" t="s">
        <v>97</v>
      </c>
      <c r="K554" s="26">
        <v>2470</v>
      </c>
      <c r="L554" s="9">
        <v>0</v>
      </c>
      <c r="M554" s="23">
        <v>0</v>
      </c>
    </row>
    <row r="555" spans="1:13" ht="18.75" customHeight="1" x14ac:dyDescent="0.25">
      <c r="A555" s="71"/>
      <c r="B555" s="74"/>
      <c r="C555" s="74"/>
      <c r="D555" s="85"/>
      <c r="E555" s="85"/>
      <c r="F555" s="108"/>
      <c r="G555" s="108"/>
      <c r="H555" s="108"/>
      <c r="I555" s="8" t="s">
        <v>973</v>
      </c>
      <c r="J555" s="9" t="s">
        <v>97</v>
      </c>
      <c r="K555" s="9">
        <v>0</v>
      </c>
      <c r="L555" s="9">
        <v>0</v>
      </c>
      <c r="M555" s="23">
        <v>0</v>
      </c>
    </row>
    <row r="556" spans="1:13" ht="30" x14ac:dyDescent="0.25">
      <c r="A556" s="71"/>
      <c r="B556" s="74"/>
      <c r="C556" s="74"/>
      <c r="D556" s="85"/>
      <c r="E556" s="85"/>
      <c r="F556" s="108"/>
      <c r="G556" s="108"/>
      <c r="H556" s="108"/>
      <c r="I556" s="8" t="s">
        <v>974</v>
      </c>
      <c r="J556" s="9" t="s">
        <v>97</v>
      </c>
      <c r="K556" s="9">
        <v>0</v>
      </c>
      <c r="L556" s="9">
        <v>0</v>
      </c>
      <c r="M556" s="23">
        <v>0</v>
      </c>
    </row>
    <row r="557" spans="1:13" ht="30.75" thickBot="1" x14ac:dyDescent="0.3">
      <c r="A557" s="72"/>
      <c r="B557" s="75"/>
      <c r="C557" s="75"/>
      <c r="D557" s="86"/>
      <c r="E557" s="86"/>
      <c r="F557" s="104"/>
      <c r="G557" s="104"/>
      <c r="H557" s="104"/>
      <c r="I557" s="8" t="s">
        <v>975</v>
      </c>
      <c r="J557" s="9" t="s">
        <v>22</v>
      </c>
      <c r="K557" s="9">
        <v>2</v>
      </c>
      <c r="L557" s="9">
        <v>2</v>
      </c>
      <c r="M557" s="23">
        <v>2</v>
      </c>
    </row>
    <row r="558" spans="1:13" x14ac:dyDescent="0.25">
      <c r="A558" s="70" t="s">
        <v>976</v>
      </c>
      <c r="B558" s="73" t="s">
        <v>977</v>
      </c>
      <c r="C558" s="73" t="s">
        <v>934</v>
      </c>
      <c r="D558" s="84" t="s">
        <v>42</v>
      </c>
      <c r="E558" s="84"/>
      <c r="F558" s="103">
        <f>SUM(F559:F559)+30</f>
        <v>30</v>
      </c>
      <c r="G558" s="103">
        <f>SUM(G559:G559)+30</f>
        <v>30</v>
      </c>
      <c r="H558" s="103">
        <f>SUM(H559:H559)+30</f>
        <v>30</v>
      </c>
      <c r="I558" s="11" t="s">
        <v>978</v>
      </c>
      <c r="J558" s="13" t="s">
        <v>22</v>
      </c>
      <c r="K558" s="13">
        <v>11</v>
      </c>
      <c r="L558" s="13">
        <v>11</v>
      </c>
      <c r="M558" s="24">
        <v>11</v>
      </c>
    </row>
    <row r="559" spans="1:13" ht="36" customHeight="1" thickBot="1" x14ac:dyDescent="0.3">
      <c r="A559" s="72"/>
      <c r="B559" s="75"/>
      <c r="C559" s="75"/>
      <c r="D559" s="86"/>
      <c r="E559" s="86"/>
      <c r="F559" s="104"/>
      <c r="G559" s="104"/>
      <c r="H559" s="104"/>
      <c r="I559" s="8" t="s">
        <v>979</v>
      </c>
      <c r="J559" s="9" t="s">
        <v>97</v>
      </c>
      <c r="K559" s="9">
        <v>170</v>
      </c>
      <c r="L559" s="9">
        <v>170</v>
      </c>
      <c r="M559" s="23">
        <v>170</v>
      </c>
    </row>
    <row r="560" spans="1:13" ht="45" x14ac:dyDescent="0.25">
      <c r="A560" s="70" t="s">
        <v>980</v>
      </c>
      <c r="B560" s="73" t="s">
        <v>981</v>
      </c>
      <c r="C560" s="73" t="s">
        <v>934</v>
      </c>
      <c r="D560" s="84" t="s">
        <v>42</v>
      </c>
      <c r="E560" s="84"/>
      <c r="F560" s="103">
        <f>SUM(F561:F562)+300</f>
        <v>300</v>
      </c>
      <c r="G560" s="103">
        <f>SUM(G561:G562)+300</f>
        <v>300</v>
      </c>
      <c r="H560" s="103">
        <f>SUM(H561:H562)+300</f>
        <v>300</v>
      </c>
      <c r="I560" s="11" t="s">
        <v>982</v>
      </c>
      <c r="J560" s="13" t="s">
        <v>27</v>
      </c>
      <c r="K560" s="13">
        <v>100</v>
      </c>
      <c r="L560" s="13">
        <v>100</v>
      </c>
      <c r="M560" s="24">
        <v>100</v>
      </c>
    </row>
    <row r="561" spans="1:13" ht="45" x14ac:dyDescent="0.25">
      <c r="A561" s="71"/>
      <c r="B561" s="74"/>
      <c r="C561" s="74"/>
      <c r="D561" s="85"/>
      <c r="E561" s="85"/>
      <c r="F561" s="108"/>
      <c r="G561" s="108"/>
      <c r="H561" s="108"/>
      <c r="I561" s="8" t="s">
        <v>983</v>
      </c>
      <c r="J561" s="9" t="s">
        <v>27</v>
      </c>
      <c r="K561" s="9">
        <v>15</v>
      </c>
      <c r="L561" s="9">
        <v>15</v>
      </c>
      <c r="M561" s="23">
        <v>15</v>
      </c>
    </row>
    <row r="562" spans="1:13" ht="45.75" thickBot="1" x14ac:dyDescent="0.3">
      <c r="A562" s="72"/>
      <c r="B562" s="75"/>
      <c r="C562" s="75"/>
      <c r="D562" s="86"/>
      <c r="E562" s="86"/>
      <c r="F562" s="104"/>
      <c r="G562" s="104"/>
      <c r="H562" s="104"/>
      <c r="I562" s="8" t="s">
        <v>984</v>
      </c>
      <c r="J562" s="9" t="s">
        <v>27</v>
      </c>
      <c r="K562" s="9">
        <v>12.5</v>
      </c>
      <c r="L562" s="9">
        <v>12.5</v>
      </c>
      <c r="M562" s="23">
        <v>12.5</v>
      </c>
    </row>
    <row r="563" spans="1:13" ht="30" x14ac:dyDescent="0.25">
      <c r="A563" s="70" t="s">
        <v>985</v>
      </c>
      <c r="B563" s="73" t="s">
        <v>986</v>
      </c>
      <c r="C563" s="73" t="s">
        <v>934</v>
      </c>
      <c r="D563" s="84" t="s">
        <v>42</v>
      </c>
      <c r="E563" s="84"/>
      <c r="F563" s="103">
        <f>SUM(F564:F564)</f>
        <v>0</v>
      </c>
      <c r="G563" s="103">
        <f>SUM(G564:G564)+38</f>
        <v>38</v>
      </c>
      <c r="H563" s="103">
        <f>SUM(H564:H564)+38</f>
        <v>38</v>
      </c>
      <c r="I563" s="11" t="s">
        <v>987</v>
      </c>
      <c r="J563" s="13" t="s">
        <v>22</v>
      </c>
      <c r="K563" s="13">
        <v>0</v>
      </c>
      <c r="L563" s="13">
        <v>2</v>
      </c>
      <c r="M563" s="24">
        <v>3</v>
      </c>
    </row>
    <row r="564" spans="1:13" ht="30.75" thickBot="1" x14ac:dyDescent="0.3">
      <c r="A564" s="72"/>
      <c r="B564" s="75"/>
      <c r="C564" s="75"/>
      <c r="D564" s="86"/>
      <c r="E564" s="86"/>
      <c r="F564" s="104"/>
      <c r="G564" s="104"/>
      <c r="H564" s="104"/>
      <c r="I564" s="8" t="s">
        <v>988</v>
      </c>
      <c r="J564" s="9" t="s">
        <v>22</v>
      </c>
      <c r="K564" s="9">
        <v>0</v>
      </c>
      <c r="L564" s="9">
        <v>3</v>
      </c>
      <c r="M564" s="23">
        <v>3</v>
      </c>
    </row>
    <row r="565" spans="1:13" ht="30" customHeight="1" x14ac:dyDescent="0.25">
      <c r="A565" s="70" t="s">
        <v>989</v>
      </c>
      <c r="B565" s="73" t="s">
        <v>990</v>
      </c>
      <c r="C565" s="73" t="s">
        <v>991</v>
      </c>
      <c r="D565" s="11"/>
      <c r="E565" s="11"/>
      <c r="F565" s="52">
        <f>SUM(F566:F567)</f>
        <v>43.4</v>
      </c>
      <c r="G565" s="52">
        <f>SUM(G566:G567)</f>
        <v>0</v>
      </c>
      <c r="H565" s="52">
        <f>SUM(H566:H567)</f>
        <v>0</v>
      </c>
      <c r="I565" s="84" t="s">
        <v>992</v>
      </c>
      <c r="J565" s="13" t="s">
        <v>97</v>
      </c>
      <c r="K565" s="13">
        <v>2</v>
      </c>
      <c r="L565" s="13"/>
      <c r="M565" s="24"/>
    </row>
    <row r="566" spans="1:13" x14ac:dyDescent="0.25">
      <c r="A566" s="71"/>
      <c r="B566" s="74"/>
      <c r="C566" s="74"/>
      <c r="D566" s="8" t="s">
        <v>42</v>
      </c>
      <c r="E566" s="8"/>
      <c r="F566" s="44">
        <v>9</v>
      </c>
      <c r="G566" s="44">
        <v>0</v>
      </c>
      <c r="H566" s="44">
        <v>0</v>
      </c>
      <c r="I566" s="85"/>
      <c r="J566" s="9"/>
      <c r="K566" s="9"/>
      <c r="L566" s="9"/>
      <c r="M566" s="23"/>
    </row>
    <row r="567" spans="1:13" ht="15.75" thickBot="1" x14ac:dyDescent="0.3">
      <c r="A567" s="72"/>
      <c r="B567" s="75"/>
      <c r="C567" s="75"/>
      <c r="D567" s="8" t="s">
        <v>28</v>
      </c>
      <c r="E567" s="8"/>
      <c r="F567" s="44">
        <v>34.4</v>
      </c>
      <c r="G567" s="44">
        <v>0</v>
      </c>
      <c r="H567" s="44">
        <v>0</v>
      </c>
      <c r="I567" s="86"/>
      <c r="J567" s="9"/>
      <c r="K567" s="9"/>
      <c r="L567" s="9"/>
      <c r="M567" s="23"/>
    </row>
    <row r="568" spans="1:13" ht="45.75" thickBot="1" x14ac:dyDescent="0.3">
      <c r="A568" s="10" t="s">
        <v>993</v>
      </c>
      <c r="B568" s="11" t="s">
        <v>994</v>
      </c>
      <c r="C568" s="12" t="s">
        <v>995</v>
      </c>
      <c r="D568" s="11" t="s">
        <v>30</v>
      </c>
      <c r="E568" s="11"/>
      <c r="F568" s="56">
        <v>576.1</v>
      </c>
      <c r="G568" s="56">
        <v>576.1</v>
      </c>
      <c r="H568" s="56">
        <v>576.1</v>
      </c>
      <c r="I568" s="11" t="s">
        <v>996</v>
      </c>
      <c r="J568" s="13" t="s">
        <v>116</v>
      </c>
      <c r="K568" s="13">
        <v>140</v>
      </c>
      <c r="L568" s="13">
        <v>140</v>
      </c>
      <c r="M568" s="24">
        <v>140</v>
      </c>
    </row>
    <row r="569" spans="1:13" x14ac:dyDescent="0.25">
      <c r="A569" s="70" t="s">
        <v>997</v>
      </c>
      <c r="B569" s="73" t="s">
        <v>998</v>
      </c>
      <c r="C569" s="73" t="s">
        <v>934</v>
      </c>
      <c r="D569" s="11"/>
      <c r="E569" s="11"/>
      <c r="F569" s="52">
        <f>SUM(F570:F571)</f>
        <v>4.0999999999999996</v>
      </c>
      <c r="G569" s="52">
        <f>SUM(G570:G571)</f>
        <v>0</v>
      </c>
      <c r="H569" s="52">
        <f>SUM(H570:H571)</f>
        <v>0</v>
      </c>
      <c r="I569" s="84" t="s">
        <v>999</v>
      </c>
      <c r="J569" s="13" t="s">
        <v>116</v>
      </c>
      <c r="K569" s="13">
        <v>3</v>
      </c>
      <c r="L569" s="13"/>
      <c r="M569" s="24"/>
    </row>
    <row r="570" spans="1:13" x14ac:dyDescent="0.25">
      <c r="A570" s="71"/>
      <c r="B570" s="74"/>
      <c r="C570" s="74"/>
      <c r="D570" s="8" t="s">
        <v>30</v>
      </c>
      <c r="E570" s="8"/>
      <c r="F570" s="44">
        <v>3.8</v>
      </c>
      <c r="G570" s="44">
        <v>0</v>
      </c>
      <c r="H570" s="44">
        <v>0</v>
      </c>
      <c r="I570" s="85"/>
      <c r="J570" s="9"/>
      <c r="K570" s="9"/>
      <c r="L570" s="9"/>
      <c r="M570" s="23"/>
    </row>
    <row r="571" spans="1:13" ht="15.75" thickBot="1" x14ac:dyDescent="0.3">
      <c r="A571" s="72"/>
      <c r="B571" s="75"/>
      <c r="C571" s="75"/>
      <c r="D571" s="8" t="s">
        <v>42</v>
      </c>
      <c r="E571" s="8"/>
      <c r="F571" s="44">
        <v>0.3</v>
      </c>
      <c r="G571" s="44">
        <v>0</v>
      </c>
      <c r="H571" s="44">
        <v>0</v>
      </c>
      <c r="I571" s="86"/>
      <c r="J571" s="9"/>
      <c r="K571" s="9"/>
      <c r="L571" s="9"/>
      <c r="M571" s="23"/>
    </row>
    <row r="572" spans="1:13" ht="60.75" thickBot="1" x14ac:dyDescent="0.3">
      <c r="A572" s="10" t="s">
        <v>1000</v>
      </c>
      <c r="B572" s="11" t="s">
        <v>1001</v>
      </c>
      <c r="C572" s="12" t="s">
        <v>934</v>
      </c>
      <c r="D572" s="11" t="s">
        <v>42</v>
      </c>
      <c r="E572" s="11"/>
      <c r="F572" s="56">
        <v>94.7</v>
      </c>
      <c r="G572" s="56">
        <v>93.7</v>
      </c>
      <c r="H572" s="56">
        <v>95</v>
      </c>
      <c r="I572" s="11" t="s">
        <v>1002</v>
      </c>
      <c r="J572" s="13" t="s">
        <v>97</v>
      </c>
      <c r="K572" s="13">
        <v>105</v>
      </c>
      <c r="L572" s="13">
        <v>105</v>
      </c>
      <c r="M572" s="24">
        <v>105</v>
      </c>
    </row>
    <row r="573" spans="1:13" ht="30" x14ac:dyDescent="0.25">
      <c r="A573" s="76" t="s">
        <v>1003</v>
      </c>
      <c r="B573" s="78" t="s">
        <v>1004</v>
      </c>
      <c r="C573" s="79"/>
      <c r="D573" s="79"/>
      <c r="E573" s="80"/>
      <c r="F573" s="121">
        <f>F574+F575+F576+F577+F578+F579+F586+F590+F593+F596+F597+F599+F600+F601+F605+F609+F612+F618+F621+F624+F627+F630+F631</f>
        <v>24967.1</v>
      </c>
      <c r="G573" s="121">
        <f>G574+G575+G576+G577+G578+G579+G586+G590+G593+G596+G597+G599+G600+G601+G605+G609+G612+G618+G621+G624+G627+G630+G631</f>
        <v>25749.9</v>
      </c>
      <c r="H573" s="121">
        <f>H574+H575+H576+H577+H578+H579+H586+H590+H593+H596+H597+H599+H600+H601+H605+H609+H612+H618+H621+H624+H627+H630+H631</f>
        <v>23215</v>
      </c>
      <c r="I573" s="64" t="s">
        <v>1005</v>
      </c>
      <c r="J573" s="7" t="s">
        <v>22</v>
      </c>
      <c r="K573" s="7">
        <v>19</v>
      </c>
      <c r="L573" s="7">
        <v>20</v>
      </c>
      <c r="M573" s="25">
        <v>21</v>
      </c>
    </row>
    <row r="574" spans="1:13" x14ac:dyDescent="0.25">
      <c r="A574" s="94"/>
      <c r="B574" s="95"/>
      <c r="C574" s="96"/>
      <c r="D574" s="96"/>
      <c r="E574" s="97"/>
      <c r="F574" s="144"/>
      <c r="G574" s="144"/>
      <c r="H574" s="144"/>
      <c r="I574" s="65" t="s">
        <v>1006</v>
      </c>
      <c r="J574" s="34" t="s">
        <v>22</v>
      </c>
      <c r="K574" s="34">
        <v>30</v>
      </c>
      <c r="L574" s="34">
        <v>31</v>
      </c>
      <c r="M574" s="35">
        <v>31</v>
      </c>
    </row>
    <row r="575" spans="1:13" ht="30" x14ac:dyDescent="0.25">
      <c r="A575" s="94"/>
      <c r="B575" s="95"/>
      <c r="C575" s="96"/>
      <c r="D575" s="96"/>
      <c r="E575" s="97"/>
      <c r="F575" s="144"/>
      <c r="G575" s="144"/>
      <c r="H575" s="144"/>
      <c r="I575" s="65" t="s">
        <v>1007</v>
      </c>
      <c r="J575" s="34" t="s">
        <v>22</v>
      </c>
      <c r="K575" s="34">
        <v>15</v>
      </c>
      <c r="L575" s="34">
        <v>16</v>
      </c>
      <c r="M575" s="35">
        <v>17</v>
      </c>
    </row>
    <row r="576" spans="1:13" x14ac:dyDescent="0.25">
      <c r="A576" s="94"/>
      <c r="B576" s="95"/>
      <c r="C576" s="96"/>
      <c r="D576" s="96"/>
      <c r="E576" s="97"/>
      <c r="F576" s="144"/>
      <c r="G576" s="144"/>
      <c r="H576" s="144"/>
      <c r="I576" s="65" t="s">
        <v>1008</v>
      </c>
      <c r="J576" s="34" t="s">
        <v>22</v>
      </c>
      <c r="K576" s="34">
        <v>30</v>
      </c>
      <c r="L576" s="34">
        <v>30</v>
      </c>
      <c r="M576" s="35">
        <v>30</v>
      </c>
    </row>
    <row r="577" spans="1:13" ht="30" x14ac:dyDescent="0.25">
      <c r="A577" s="94"/>
      <c r="B577" s="95"/>
      <c r="C577" s="96"/>
      <c r="D577" s="96"/>
      <c r="E577" s="97"/>
      <c r="F577" s="144"/>
      <c r="G577" s="144"/>
      <c r="H577" s="144"/>
      <c r="I577" s="65" t="s">
        <v>1009</v>
      </c>
      <c r="J577" s="34" t="s">
        <v>22</v>
      </c>
      <c r="K577" s="34">
        <v>1</v>
      </c>
      <c r="L577" s="34">
        <v>2</v>
      </c>
      <c r="M577" s="35">
        <v>3</v>
      </c>
    </row>
    <row r="578" spans="1:13" ht="15.75" thickBot="1" x14ac:dyDescent="0.3">
      <c r="A578" s="77"/>
      <c r="B578" s="81"/>
      <c r="C578" s="82"/>
      <c r="D578" s="82"/>
      <c r="E578" s="83"/>
      <c r="F578" s="122"/>
      <c r="G578" s="122"/>
      <c r="H578" s="122"/>
      <c r="I578" s="65" t="s">
        <v>1010</v>
      </c>
      <c r="J578" s="34" t="s">
        <v>22</v>
      </c>
      <c r="K578" s="34">
        <v>9</v>
      </c>
      <c r="L578" s="34">
        <v>9</v>
      </c>
      <c r="M578" s="35">
        <v>9</v>
      </c>
    </row>
    <row r="579" spans="1:13" ht="48" customHeight="1" x14ac:dyDescent="0.25">
      <c r="A579" s="70" t="s">
        <v>1011</v>
      </c>
      <c r="B579" s="73" t="s">
        <v>1012</v>
      </c>
      <c r="C579" s="73" t="s">
        <v>1013</v>
      </c>
      <c r="D579" s="84" t="s">
        <v>42</v>
      </c>
      <c r="E579" s="84"/>
      <c r="F579" s="103">
        <f>SUM(F580:F585)+3150</f>
        <v>3150</v>
      </c>
      <c r="G579" s="103">
        <f>SUM(G580:G585)+5200</f>
        <v>5200</v>
      </c>
      <c r="H579" s="103">
        <f>SUM(H580:H585)+4000</f>
        <v>4000</v>
      </c>
      <c r="I579" s="11" t="s">
        <v>1014</v>
      </c>
      <c r="J579" s="13" t="s">
        <v>22</v>
      </c>
      <c r="K579" s="13">
        <v>1</v>
      </c>
      <c r="L579" s="13">
        <v>2</v>
      </c>
      <c r="M579" s="24">
        <v>1</v>
      </c>
    </row>
    <row r="580" spans="1:13" ht="63.75" customHeight="1" x14ac:dyDescent="0.25">
      <c r="A580" s="71"/>
      <c r="B580" s="74"/>
      <c r="C580" s="74"/>
      <c r="D580" s="85"/>
      <c r="E580" s="85"/>
      <c r="F580" s="108"/>
      <c r="G580" s="108"/>
      <c r="H580" s="108"/>
      <c r="I580" s="8" t="s">
        <v>1015</v>
      </c>
      <c r="J580" s="9" t="s">
        <v>22</v>
      </c>
      <c r="K580" s="9">
        <v>2</v>
      </c>
      <c r="L580" s="9">
        <v>1</v>
      </c>
      <c r="M580" s="23">
        <v>2</v>
      </c>
    </row>
    <row r="581" spans="1:13" ht="30" x14ac:dyDescent="0.25">
      <c r="A581" s="71"/>
      <c r="B581" s="74"/>
      <c r="C581" s="74"/>
      <c r="D581" s="85"/>
      <c r="E581" s="85"/>
      <c r="F581" s="108"/>
      <c r="G581" s="108"/>
      <c r="H581" s="108"/>
      <c r="I581" s="8" t="s">
        <v>1016</v>
      </c>
      <c r="J581" s="9" t="s">
        <v>22</v>
      </c>
      <c r="K581" s="9">
        <v>2</v>
      </c>
      <c r="L581" s="9">
        <v>0</v>
      </c>
      <c r="M581" s="23">
        <v>0</v>
      </c>
    </row>
    <row r="582" spans="1:13" ht="75" x14ac:dyDescent="0.25">
      <c r="A582" s="71"/>
      <c r="B582" s="74"/>
      <c r="C582" s="74"/>
      <c r="D582" s="85"/>
      <c r="E582" s="85"/>
      <c r="F582" s="108"/>
      <c r="G582" s="108"/>
      <c r="H582" s="108"/>
      <c r="I582" s="8" t="s">
        <v>1017</v>
      </c>
      <c r="J582" s="9" t="s">
        <v>22</v>
      </c>
      <c r="K582" s="9">
        <v>6</v>
      </c>
      <c r="L582" s="9">
        <v>2</v>
      </c>
      <c r="M582" s="23">
        <v>2</v>
      </c>
    </row>
    <row r="583" spans="1:13" ht="51" customHeight="1" x14ac:dyDescent="0.25">
      <c r="A583" s="71"/>
      <c r="B583" s="74"/>
      <c r="C583" s="74"/>
      <c r="D583" s="85"/>
      <c r="E583" s="85"/>
      <c r="F583" s="108"/>
      <c r="G583" s="108"/>
      <c r="H583" s="108"/>
      <c r="I583" s="8" t="s">
        <v>1018</v>
      </c>
      <c r="J583" s="9" t="s">
        <v>22</v>
      </c>
      <c r="K583" s="9">
        <v>2</v>
      </c>
      <c r="L583" s="9">
        <v>1</v>
      </c>
      <c r="M583" s="23">
        <v>1</v>
      </c>
    </row>
    <row r="584" spans="1:13" ht="60" x14ac:dyDescent="0.25">
      <c r="A584" s="71"/>
      <c r="B584" s="74"/>
      <c r="C584" s="74"/>
      <c r="D584" s="85"/>
      <c r="E584" s="85"/>
      <c r="F584" s="108"/>
      <c r="G584" s="108"/>
      <c r="H584" s="108"/>
      <c r="I584" s="8" t="s">
        <v>1019</v>
      </c>
      <c r="J584" s="9" t="s">
        <v>22</v>
      </c>
      <c r="K584" s="9">
        <v>2</v>
      </c>
      <c r="L584" s="9">
        <v>1</v>
      </c>
      <c r="M584" s="23">
        <v>1</v>
      </c>
    </row>
    <row r="585" spans="1:13" ht="60.75" thickBot="1" x14ac:dyDescent="0.3">
      <c r="A585" s="72"/>
      <c r="B585" s="75"/>
      <c r="C585" s="75"/>
      <c r="D585" s="86"/>
      <c r="E585" s="86"/>
      <c r="F585" s="104"/>
      <c r="G585" s="104"/>
      <c r="H585" s="104"/>
      <c r="I585" s="8" t="s">
        <v>1020</v>
      </c>
      <c r="J585" s="9" t="s">
        <v>22</v>
      </c>
      <c r="K585" s="9">
        <v>3</v>
      </c>
      <c r="L585" s="9">
        <v>1</v>
      </c>
      <c r="M585" s="23">
        <v>1</v>
      </c>
    </row>
    <row r="586" spans="1:13" ht="48.75" customHeight="1" x14ac:dyDescent="0.25">
      <c r="A586" s="70" t="s">
        <v>1021</v>
      </c>
      <c r="B586" s="73" t="s">
        <v>1022</v>
      </c>
      <c r="C586" s="73" t="s">
        <v>1023</v>
      </c>
      <c r="D586" s="84" t="s">
        <v>42</v>
      </c>
      <c r="E586" s="141" t="s">
        <v>519</v>
      </c>
      <c r="F586" s="103">
        <f>SUM(F587:F589)+1471</f>
        <v>1471</v>
      </c>
      <c r="G586" s="103">
        <f>SUM(G587:G589)+1471</f>
        <v>1471</v>
      </c>
      <c r="H586" s="103">
        <f>SUM(H587:H589)+1471</f>
        <v>1471</v>
      </c>
      <c r="I586" s="11" t="s">
        <v>1024</v>
      </c>
      <c r="J586" s="13" t="s">
        <v>22</v>
      </c>
      <c r="K586" s="13">
        <v>6</v>
      </c>
      <c r="L586" s="13">
        <v>6</v>
      </c>
      <c r="M586" s="24">
        <v>6</v>
      </c>
    </row>
    <row r="587" spans="1:13" ht="45" x14ac:dyDescent="0.25">
      <c r="A587" s="71"/>
      <c r="B587" s="74"/>
      <c r="C587" s="74"/>
      <c r="D587" s="85"/>
      <c r="E587" s="142"/>
      <c r="F587" s="108"/>
      <c r="G587" s="108"/>
      <c r="H587" s="108"/>
      <c r="I587" s="8" t="s">
        <v>1025</v>
      </c>
      <c r="J587" s="9" t="s">
        <v>22</v>
      </c>
      <c r="K587" s="9">
        <v>3</v>
      </c>
      <c r="L587" s="9">
        <v>3</v>
      </c>
      <c r="M587" s="23">
        <v>3</v>
      </c>
    </row>
    <row r="588" spans="1:13" ht="48" customHeight="1" x14ac:dyDescent="0.25">
      <c r="A588" s="71"/>
      <c r="B588" s="74"/>
      <c r="C588" s="74"/>
      <c r="D588" s="85"/>
      <c r="E588" s="142"/>
      <c r="F588" s="108"/>
      <c r="G588" s="108"/>
      <c r="H588" s="108"/>
      <c r="I588" s="8" t="s">
        <v>1026</v>
      </c>
      <c r="J588" s="9" t="s">
        <v>22</v>
      </c>
      <c r="K588" s="9">
        <v>1</v>
      </c>
      <c r="L588" s="9">
        <v>1</v>
      </c>
      <c r="M588" s="23">
        <v>1</v>
      </c>
    </row>
    <row r="589" spans="1:13" ht="45.75" customHeight="1" thickBot="1" x14ac:dyDescent="0.3">
      <c r="A589" s="72"/>
      <c r="B589" s="75"/>
      <c r="C589" s="75"/>
      <c r="D589" s="86"/>
      <c r="E589" s="143"/>
      <c r="F589" s="104"/>
      <c r="G589" s="104"/>
      <c r="H589" s="104"/>
      <c r="I589" s="8" t="s">
        <v>1027</v>
      </c>
      <c r="J589" s="9" t="s">
        <v>22</v>
      </c>
      <c r="K589" s="9">
        <v>2</v>
      </c>
      <c r="L589" s="9">
        <v>1</v>
      </c>
      <c r="M589" s="23">
        <v>1</v>
      </c>
    </row>
    <row r="590" spans="1:13" x14ac:dyDescent="0.25">
      <c r="A590" s="70" t="s">
        <v>1028</v>
      </c>
      <c r="B590" s="73" t="s">
        <v>1029</v>
      </c>
      <c r="C590" s="73" t="s">
        <v>1013</v>
      </c>
      <c r="D590" s="84" t="s">
        <v>42</v>
      </c>
      <c r="E590" s="141" t="s">
        <v>519</v>
      </c>
      <c r="F590" s="103">
        <f>SUM(F591:F592)+400</f>
        <v>400</v>
      </c>
      <c r="G590" s="103">
        <f>SUM(G591:G592)+1600</f>
        <v>1600</v>
      </c>
      <c r="H590" s="103">
        <f>SUM(H591:H592)+1600</f>
        <v>1600</v>
      </c>
      <c r="I590" s="11" t="s">
        <v>1030</v>
      </c>
      <c r="J590" s="13" t="s">
        <v>27</v>
      </c>
      <c r="K590" s="13">
        <v>10</v>
      </c>
      <c r="L590" s="13">
        <v>50</v>
      </c>
      <c r="M590" s="24">
        <v>100</v>
      </c>
    </row>
    <row r="591" spans="1:13" ht="30" x14ac:dyDescent="0.25">
      <c r="A591" s="71"/>
      <c r="B591" s="74"/>
      <c r="C591" s="74"/>
      <c r="D591" s="85"/>
      <c r="E591" s="142"/>
      <c r="F591" s="108"/>
      <c r="G591" s="108"/>
      <c r="H591" s="108"/>
      <c r="I591" s="8" t="s">
        <v>1031</v>
      </c>
      <c r="J591" s="9" t="s">
        <v>27</v>
      </c>
      <c r="K591" s="9">
        <v>0</v>
      </c>
      <c r="L591" s="9">
        <v>10</v>
      </c>
      <c r="M591" s="23">
        <v>100</v>
      </c>
    </row>
    <row r="592" spans="1:13" ht="60.75" thickBot="1" x14ac:dyDescent="0.3">
      <c r="A592" s="72"/>
      <c r="B592" s="75"/>
      <c r="C592" s="75"/>
      <c r="D592" s="86"/>
      <c r="E592" s="143"/>
      <c r="F592" s="104"/>
      <c r="G592" s="104"/>
      <c r="H592" s="104"/>
      <c r="I592" s="8" t="s">
        <v>1032</v>
      </c>
      <c r="J592" s="9" t="s">
        <v>22</v>
      </c>
      <c r="K592" s="9">
        <v>2</v>
      </c>
      <c r="L592" s="9">
        <v>1</v>
      </c>
      <c r="M592" s="23">
        <v>1</v>
      </c>
    </row>
    <row r="593" spans="1:13" ht="45" x14ac:dyDescent="0.25">
      <c r="A593" s="105" t="s">
        <v>1033</v>
      </c>
      <c r="B593" s="73" t="s">
        <v>1034</v>
      </c>
      <c r="C593" s="73" t="s">
        <v>1013</v>
      </c>
      <c r="D593" s="84" t="s">
        <v>42</v>
      </c>
      <c r="E593" s="141" t="s">
        <v>519</v>
      </c>
      <c r="F593" s="103">
        <f>SUM(F594:F595)+1300</f>
        <v>1300</v>
      </c>
      <c r="G593" s="103">
        <f>SUM(G594:G595)+1300</f>
        <v>1300</v>
      </c>
      <c r="H593" s="103">
        <f>SUM(H594:H595)+1300</f>
        <v>1300</v>
      </c>
      <c r="I593" s="11" t="s">
        <v>1035</v>
      </c>
      <c r="J593" s="13" t="s">
        <v>22</v>
      </c>
      <c r="K593" s="13">
        <v>4</v>
      </c>
      <c r="L593" s="13">
        <v>1</v>
      </c>
      <c r="M593" s="24">
        <v>1</v>
      </c>
    </row>
    <row r="594" spans="1:13" ht="60" x14ac:dyDescent="0.25">
      <c r="A594" s="106"/>
      <c r="B594" s="74"/>
      <c r="C594" s="74"/>
      <c r="D594" s="85"/>
      <c r="E594" s="142"/>
      <c r="F594" s="108"/>
      <c r="G594" s="108"/>
      <c r="H594" s="108"/>
      <c r="I594" s="8" t="s">
        <v>1036</v>
      </c>
      <c r="J594" s="9" t="s">
        <v>22</v>
      </c>
      <c r="K594" s="9">
        <v>11</v>
      </c>
      <c r="L594" s="9">
        <v>5</v>
      </c>
      <c r="M594" s="23">
        <v>5</v>
      </c>
    </row>
    <row r="595" spans="1:13" ht="45.75" thickBot="1" x14ac:dyDescent="0.3">
      <c r="A595" s="107"/>
      <c r="B595" s="75"/>
      <c r="C595" s="75"/>
      <c r="D595" s="86"/>
      <c r="E595" s="143"/>
      <c r="F595" s="104"/>
      <c r="G595" s="104"/>
      <c r="H595" s="104"/>
      <c r="I595" s="8" t="s">
        <v>1037</v>
      </c>
      <c r="J595" s="9" t="s">
        <v>22</v>
      </c>
      <c r="K595" s="9">
        <v>4</v>
      </c>
      <c r="L595" s="9">
        <v>1</v>
      </c>
      <c r="M595" s="23">
        <v>1</v>
      </c>
    </row>
    <row r="596" spans="1:13" ht="45.75" thickBot="1" x14ac:dyDescent="0.3">
      <c r="A596" s="10" t="s">
        <v>1038</v>
      </c>
      <c r="B596" s="11" t="s">
        <v>1039</v>
      </c>
      <c r="C596" s="12" t="s">
        <v>934</v>
      </c>
      <c r="D596" s="11" t="s">
        <v>42</v>
      </c>
      <c r="E596" s="67" t="s">
        <v>519</v>
      </c>
      <c r="F596" s="56">
        <v>100</v>
      </c>
      <c r="G596" s="56">
        <v>100</v>
      </c>
      <c r="H596" s="56">
        <v>100</v>
      </c>
      <c r="I596" s="11" t="s">
        <v>1040</v>
      </c>
      <c r="J596" s="13" t="s">
        <v>27</v>
      </c>
      <c r="K596" s="13">
        <v>100</v>
      </c>
      <c r="L596" s="13">
        <v>100</v>
      </c>
      <c r="M596" s="24">
        <v>100</v>
      </c>
    </row>
    <row r="597" spans="1:13" ht="34.5" customHeight="1" x14ac:dyDescent="0.25">
      <c r="A597" s="70" t="s">
        <v>1041</v>
      </c>
      <c r="B597" s="73" t="s">
        <v>1042</v>
      </c>
      <c r="C597" s="73" t="s">
        <v>1043</v>
      </c>
      <c r="D597" s="84" t="s">
        <v>42</v>
      </c>
      <c r="E597" s="141" t="s">
        <v>519</v>
      </c>
      <c r="F597" s="103">
        <f>SUM(F598:F598)+599</f>
        <v>599</v>
      </c>
      <c r="G597" s="103">
        <f>SUM(G598:G598)+2150</f>
        <v>2150</v>
      </c>
      <c r="H597" s="103">
        <f>SUM(H598:H598)+2150</f>
        <v>2150</v>
      </c>
      <c r="I597" s="11" t="s">
        <v>1044</v>
      </c>
      <c r="J597" s="13" t="s">
        <v>27</v>
      </c>
      <c r="K597" s="13">
        <v>2</v>
      </c>
      <c r="L597" s="13">
        <v>48</v>
      </c>
      <c r="M597" s="24">
        <v>100</v>
      </c>
    </row>
    <row r="598" spans="1:13" ht="15.75" thickBot="1" x14ac:dyDescent="0.3">
      <c r="A598" s="72"/>
      <c r="B598" s="75"/>
      <c r="C598" s="75"/>
      <c r="D598" s="86"/>
      <c r="E598" s="143"/>
      <c r="F598" s="104"/>
      <c r="G598" s="104"/>
      <c r="H598" s="104"/>
      <c r="I598" s="8" t="s">
        <v>1045</v>
      </c>
      <c r="J598" s="9" t="s">
        <v>27</v>
      </c>
      <c r="K598" s="9">
        <v>100</v>
      </c>
      <c r="L598" s="9">
        <v>0</v>
      </c>
      <c r="M598" s="23">
        <v>0</v>
      </c>
    </row>
    <row r="599" spans="1:13" ht="30.75" thickBot="1" x14ac:dyDescent="0.3">
      <c r="A599" s="10" t="s">
        <v>1046</v>
      </c>
      <c r="B599" s="11" t="s">
        <v>1047</v>
      </c>
      <c r="C599" s="12" t="s">
        <v>1013</v>
      </c>
      <c r="D599" s="11" t="s">
        <v>42</v>
      </c>
      <c r="E599" s="67" t="s">
        <v>519</v>
      </c>
      <c r="F599" s="56">
        <v>943</v>
      </c>
      <c r="G599" s="56">
        <v>0</v>
      </c>
      <c r="H599" s="56">
        <v>0</v>
      </c>
      <c r="I599" s="11" t="s">
        <v>1048</v>
      </c>
      <c r="J599" s="13" t="s">
        <v>27</v>
      </c>
      <c r="K599" s="13">
        <v>100</v>
      </c>
      <c r="L599" s="13"/>
      <c r="M599" s="24"/>
    </row>
    <row r="600" spans="1:13" ht="45.75" thickBot="1" x14ac:dyDescent="0.3">
      <c r="A600" s="10" t="s">
        <v>1049</v>
      </c>
      <c r="B600" s="11" t="s">
        <v>1050</v>
      </c>
      <c r="C600" s="12" t="s">
        <v>1043</v>
      </c>
      <c r="D600" s="11" t="s">
        <v>42</v>
      </c>
      <c r="E600" s="67"/>
      <c r="F600" s="56">
        <v>435.4</v>
      </c>
      <c r="G600" s="56">
        <v>0</v>
      </c>
      <c r="H600" s="56">
        <v>0</v>
      </c>
      <c r="I600" s="11" t="s">
        <v>1051</v>
      </c>
      <c r="J600" s="13" t="s">
        <v>22</v>
      </c>
      <c r="K600" s="13">
        <v>1</v>
      </c>
      <c r="L600" s="13"/>
      <c r="M600" s="24"/>
    </row>
    <row r="601" spans="1:13" ht="61.5" customHeight="1" x14ac:dyDescent="0.25">
      <c r="A601" s="70" t="s">
        <v>1052</v>
      </c>
      <c r="B601" s="73" t="s">
        <v>1053</v>
      </c>
      <c r="C601" s="73" t="s">
        <v>1054</v>
      </c>
      <c r="D601" s="11"/>
      <c r="E601" s="67" t="s">
        <v>519</v>
      </c>
      <c r="F601" s="52">
        <f>SUM(F602:F604)</f>
        <v>4818.7</v>
      </c>
      <c r="G601" s="52">
        <f>SUM(G602:G604)</f>
        <v>4398.3999999999996</v>
      </c>
      <c r="H601" s="52">
        <f>SUM(H602:H604)</f>
        <v>3698.7000000000003</v>
      </c>
      <c r="I601" s="11" t="s">
        <v>1055</v>
      </c>
      <c r="J601" s="13" t="s">
        <v>27</v>
      </c>
      <c r="K601" s="13">
        <v>40</v>
      </c>
      <c r="L601" s="13">
        <v>80</v>
      </c>
      <c r="M601" s="24">
        <v>100</v>
      </c>
    </row>
    <row r="602" spans="1:13" x14ac:dyDescent="0.25">
      <c r="A602" s="71"/>
      <c r="B602" s="74"/>
      <c r="C602" s="74"/>
      <c r="D602" s="8" t="s">
        <v>42</v>
      </c>
      <c r="E602" s="8"/>
      <c r="F602" s="44">
        <v>721.1</v>
      </c>
      <c r="G602" s="44">
        <v>203.9</v>
      </c>
      <c r="H602" s="44">
        <v>2311.3000000000002</v>
      </c>
      <c r="I602" s="145" t="s">
        <v>1056</v>
      </c>
      <c r="J602" s="99" t="s">
        <v>27</v>
      </c>
      <c r="K602" s="99"/>
      <c r="L602" s="99">
        <v>60</v>
      </c>
      <c r="M602" s="123">
        <v>100</v>
      </c>
    </row>
    <row r="603" spans="1:13" x14ac:dyDescent="0.25">
      <c r="A603" s="71"/>
      <c r="B603" s="74"/>
      <c r="C603" s="74"/>
      <c r="D603" s="8" t="s">
        <v>28</v>
      </c>
      <c r="E603" s="8"/>
      <c r="F603" s="44">
        <v>987</v>
      </c>
      <c r="G603" s="44">
        <v>840</v>
      </c>
      <c r="H603" s="44">
        <v>149.9</v>
      </c>
      <c r="I603" s="74"/>
      <c r="J603" s="100"/>
      <c r="K603" s="100"/>
      <c r="L603" s="100"/>
      <c r="M603" s="140"/>
    </row>
    <row r="604" spans="1:13" ht="15.75" thickBot="1" x14ac:dyDescent="0.3">
      <c r="A604" s="72"/>
      <c r="B604" s="75"/>
      <c r="C604" s="75"/>
      <c r="D604" s="8" t="s">
        <v>30</v>
      </c>
      <c r="E604" s="8"/>
      <c r="F604" s="44">
        <v>3110.6</v>
      </c>
      <c r="G604" s="44">
        <v>3354.5</v>
      </c>
      <c r="H604" s="44">
        <v>1237.5</v>
      </c>
      <c r="I604" s="75"/>
      <c r="J604" s="101"/>
      <c r="K604" s="101"/>
      <c r="L604" s="101"/>
      <c r="M604" s="124"/>
    </row>
    <row r="605" spans="1:13" x14ac:dyDescent="0.25">
      <c r="A605" s="70" t="s">
        <v>1057</v>
      </c>
      <c r="B605" s="73" t="s">
        <v>1058</v>
      </c>
      <c r="C605" s="73" t="s">
        <v>1043</v>
      </c>
      <c r="D605" s="11"/>
      <c r="E605" s="66"/>
      <c r="F605" s="52">
        <f>SUM(F606:F608)</f>
        <v>805</v>
      </c>
      <c r="G605" s="52">
        <f>SUM(G606:G608)</f>
        <v>650</v>
      </c>
      <c r="H605" s="52">
        <f>SUM(H606:H608)</f>
        <v>0</v>
      </c>
      <c r="I605" s="11" t="s">
        <v>1055</v>
      </c>
      <c r="J605" s="13" t="s">
        <v>27</v>
      </c>
      <c r="K605" s="13">
        <v>50</v>
      </c>
      <c r="L605" s="13">
        <v>100</v>
      </c>
      <c r="M605" s="24"/>
    </row>
    <row r="606" spans="1:13" ht="30" x14ac:dyDescent="0.25">
      <c r="A606" s="71"/>
      <c r="B606" s="74"/>
      <c r="C606" s="74"/>
      <c r="D606" s="8" t="s">
        <v>42</v>
      </c>
      <c r="E606" s="8"/>
      <c r="F606" s="44">
        <v>105</v>
      </c>
      <c r="G606" s="44">
        <v>150</v>
      </c>
      <c r="H606" s="44">
        <v>0</v>
      </c>
      <c r="I606" s="8" t="s">
        <v>1059</v>
      </c>
      <c r="J606" s="9" t="s">
        <v>27</v>
      </c>
      <c r="K606" s="9">
        <v>40</v>
      </c>
      <c r="L606" s="9">
        <v>41</v>
      </c>
      <c r="M606" s="23"/>
    </row>
    <row r="607" spans="1:13" x14ac:dyDescent="0.25">
      <c r="A607" s="71"/>
      <c r="B607" s="74"/>
      <c r="C607" s="74"/>
      <c r="D607" s="8" t="s">
        <v>30</v>
      </c>
      <c r="E607" s="8"/>
      <c r="F607" s="44">
        <v>700</v>
      </c>
      <c r="G607" s="44">
        <v>500</v>
      </c>
      <c r="H607" s="44">
        <v>0</v>
      </c>
      <c r="I607" s="8" t="s">
        <v>1060</v>
      </c>
      <c r="J607" s="9" t="s">
        <v>93</v>
      </c>
      <c r="K607" s="9"/>
      <c r="L607" s="9">
        <v>10</v>
      </c>
      <c r="M607" s="23"/>
    </row>
    <row r="608" spans="1:13" ht="15.75" thickBot="1" x14ac:dyDescent="0.3">
      <c r="A608" s="72"/>
      <c r="B608" s="75"/>
      <c r="C608" s="75"/>
      <c r="D608" s="8"/>
      <c r="E608" s="8"/>
      <c r="F608" s="44">
        <v>0</v>
      </c>
      <c r="G608" s="44">
        <v>0</v>
      </c>
      <c r="H608" s="44">
        <v>0</v>
      </c>
      <c r="I608" s="8" t="s">
        <v>1061</v>
      </c>
      <c r="J608" s="9" t="s">
        <v>116</v>
      </c>
      <c r="K608" s="9"/>
      <c r="L608" s="9">
        <v>10</v>
      </c>
      <c r="M608" s="23"/>
    </row>
    <row r="609" spans="1:13" ht="32.25" customHeight="1" x14ac:dyDescent="0.25">
      <c r="A609" s="70" t="s">
        <v>1062</v>
      </c>
      <c r="B609" s="73" t="s">
        <v>1063</v>
      </c>
      <c r="C609" s="73" t="s">
        <v>1043</v>
      </c>
      <c r="D609" s="11"/>
      <c r="E609" s="67" t="s">
        <v>519</v>
      </c>
      <c r="F609" s="52">
        <f>SUM(F610:F611)</f>
        <v>550</v>
      </c>
      <c r="G609" s="52">
        <f>SUM(G610:G611)</f>
        <v>1650</v>
      </c>
      <c r="H609" s="52">
        <f>SUM(H610:H611)</f>
        <v>2022</v>
      </c>
      <c r="I609" s="11" t="s">
        <v>1055</v>
      </c>
      <c r="J609" s="13" t="s">
        <v>27</v>
      </c>
      <c r="K609" s="13">
        <v>13</v>
      </c>
      <c r="L609" s="13">
        <v>40</v>
      </c>
      <c r="M609" s="24">
        <v>100</v>
      </c>
    </row>
    <row r="610" spans="1:13" x14ac:dyDescent="0.25">
      <c r="A610" s="71"/>
      <c r="B610" s="74"/>
      <c r="C610" s="74"/>
      <c r="D610" s="8" t="s">
        <v>30</v>
      </c>
      <c r="E610" s="69"/>
      <c r="F610" s="44">
        <v>400</v>
      </c>
      <c r="G610" s="44">
        <v>1500</v>
      </c>
      <c r="H610" s="44">
        <v>600</v>
      </c>
      <c r="I610" s="8" t="s">
        <v>1060</v>
      </c>
      <c r="J610" s="9" t="s">
        <v>93</v>
      </c>
      <c r="K610" s="9"/>
      <c r="L610" s="9"/>
      <c r="M610" s="23">
        <v>1</v>
      </c>
    </row>
    <row r="611" spans="1:13" ht="15.75" thickBot="1" x14ac:dyDescent="0.3">
      <c r="A611" s="72"/>
      <c r="B611" s="75"/>
      <c r="C611" s="75"/>
      <c r="D611" s="8" t="s">
        <v>42</v>
      </c>
      <c r="E611" s="69"/>
      <c r="F611" s="44">
        <v>150</v>
      </c>
      <c r="G611" s="44">
        <v>150</v>
      </c>
      <c r="H611" s="44">
        <v>1422</v>
      </c>
      <c r="I611" s="8" t="s">
        <v>1064</v>
      </c>
      <c r="J611" s="9" t="s">
        <v>22</v>
      </c>
      <c r="K611" s="9"/>
      <c r="L611" s="9"/>
      <c r="M611" s="23">
        <v>90</v>
      </c>
    </row>
    <row r="612" spans="1:13" ht="45" x14ac:dyDescent="0.25">
      <c r="A612" s="70" t="s">
        <v>1065</v>
      </c>
      <c r="B612" s="73" t="s">
        <v>1066</v>
      </c>
      <c r="C612" s="73" t="s">
        <v>1067</v>
      </c>
      <c r="D612" s="11"/>
      <c r="E612" s="67" t="s">
        <v>519</v>
      </c>
      <c r="F612" s="52">
        <f>SUM(F613:F617)</f>
        <v>4045</v>
      </c>
      <c r="G612" s="52">
        <f>SUM(G613:G617)</f>
        <v>0</v>
      </c>
      <c r="H612" s="52">
        <f>SUM(H613:H617)</f>
        <v>0</v>
      </c>
      <c r="I612" s="11" t="s">
        <v>1068</v>
      </c>
      <c r="J612" s="13" t="s">
        <v>27</v>
      </c>
      <c r="K612" s="13">
        <v>100</v>
      </c>
      <c r="L612" s="13"/>
      <c r="M612" s="24"/>
    </row>
    <row r="613" spans="1:13" ht="45" x14ac:dyDescent="0.25">
      <c r="A613" s="71"/>
      <c r="B613" s="74"/>
      <c r="C613" s="74"/>
      <c r="D613" s="8" t="s">
        <v>42</v>
      </c>
      <c r="E613" s="8"/>
      <c r="F613" s="44">
        <v>250</v>
      </c>
      <c r="G613" s="44">
        <v>0</v>
      </c>
      <c r="H613" s="44">
        <v>0</v>
      </c>
      <c r="I613" s="8" t="s">
        <v>1069</v>
      </c>
      <c r="J613" s="9" t="s">
        <v>27</v>
      </c>
      <c r="K613" s="9">
        <v>100</v>
      </c>
      <c r="L613" s="9"/>
      <c r="M613" s="23"/>
    </row>
    <row r="614" spans="1:13" ht="45" x14ac:dyDescent="0.25">
      <c r="A614" s="71"/>
      <c r="B614" s="74"/>
      <c r="C614" s="74"/>
      <c r="D614" s="8" t="s">
        <v>28</v>
      </c>
      <c r="E614" s="8"/>
      <c r="F614" s="44">
        <v>595</v>
      </c>
      <c r="G614" s="44">
        <v>0</v>
      </c>
      <c r="H614" s="44">
        <v>0</v>
      </c>
      <c r="I614" s="8" t="s">
        <v>1070</v>
      </c>
      <c r="J614" s="9" t="s">
        <v>27</v>
      </c>
      <c r="K614" s="9">
        <v>100</v>
      </c>
      <c r="L614" s="9"/>
      <c r="M614" s="23"/>
    </row>
    <row r="615" spans="1:13" ht="33" customHeight="1" x14ac:dyDescent="0.25">
      <c r="A615" s="71"/>
      <c r="B615" s="74"/>
      <c r="C615" s="74"/>
      <c r="D615" s="98" t="s">
        <v>30</v>
      </c>
      <c r="E615" s="98"/>
      <c r="F615" s="118">
        <v>3200</v>
      </c>
      <c r="G615" s="118">
        <v>0</v>
      </c>
      <c r="H615" s="118">
        <v>0</v>
      </c>
      <c r="I615" s="8" t="s">
        <v>1071</v>
      </c>
      <c r="J615" s="9" t="s">
        <v>27</v>
      </c>
      <c r="K615" s="9">
        <v>86</v>
      </c>
      <c r="L615" s="9"/>
      <c r="M615" s="23"/>
    </row>
    <row r="616" spans="1:13" ht="30" x14ac:dyDescent="0.25">
      <c r="A616" s="71"/>
      <c r="B616" s="74"/>
      <c r="C616" s="74"/>
      <c r="D616" s="85"/>
      <c r="E616" s="85"/>
      <c r="F616" s="119"/>
      <c r="G616" s="119"/>
      <c r="H616" s="119"/>
      <c r="I616" s="8" t="s">
        <v>1072</v>
      </c>
      <c r="J616" s="9" t="s">
        <v>27</v>
      </c>
      <c r="K616" s="9">
        <v>75</v>
      </c>
      <c r="L616" s="9"/>
      <c r="M616" s="23"/>
    </row>
    <row r="617" spans="1:13" ht="60.75" thickBot="1" x14ac:dyDescent="0.3">
      <c r="A617" s="72"/>
      <c r="B617" s="75"/>
      <c r="C617" s="75"/>
      <c r="D617" s="86"/>
      <c r="E617" s="86"/>
      <c r="F617" s="120"/>
      <c r="G617" s="120"/>
      <c r="H617" s="120"/>
      <c r="I617" s="8" t="s">
        <v>1073</v>
      </c>
      <c r="J617" s="9" t="s">
        <v>27</v>
      </c>
      <c r="K617" s="9">
        <v>100</v>
      </c>
      <c r="L617" s="9"/>
      <c r="M617" s="23"/>
    </row>
    <row r="618" spans="1:13" ht="49.5" customHeight="1" x14ac:dyDescent="0.25">
      <c r="A618" s="70" t="s">
        <v>1074</v>
      </c>
      <c r="B618" s="73" t="s">
        <v>1075</v>
      </c>
      <c r="C618" s="73" t="s">
        <v>1043</v>
      </c>
      <c r="D618" s="11"/>
      <c r="E618" s="67" t="s">
        <v>519</v>
      </c>
      <c r="F618" s="52">
        <f>SUM(F619:F620)</f>
        <v>790</v>
      </c>
      <c r="G618" s="52">
        <f>SUM(G619:G620)</f>
        <v>1290</v>
      </c>
      <c r="H618" s="52">
        <f>SUM(H619:H620)</f>
        <v>1943.8</v>
      </c>
      <c r="I618" s="11" t="s">
        <v>325</v>
      </c>
      <c r="J618" s="13" t="s">
        <v>22</v>
      </c>
      <c r="K618" s="13">
        <v>1</v>
      </c>
      <c r="L618" s="13"/>
      <c r="M618" s="24"/>
    </row>
    <row r="619" spans="1:13" x14ac:dyDescent="0.25">
      <c r="A619" s="71"/>
      <c r="B619" s="74"/>
      <c r="C619" s="74"/>
      <c r="D619" s="8" t="s">
        <v>42</v>
      </c>
      <c r="E619" s="69"/>
      <c r="F619" s="44">
        <v>390</v>
      </c>
      <c r="G619" s="44">
        <v>290</v>
      </c>
      <c r="H619" s="44">
        <v>321.3</v>
      </c>
      <c r="I619" s="8" t="s">
        <v>1055</v>
      </c>
      <c r="J619" s="9" t="s">
        <v>27</v>
      </c>
      <c r="K619" s="9">
        <v>15</v>
      </c>
      <c r="L619" s="9">
        <v>45</v>
      </c>
      <c r="M619" s="23">
        <v>100</v>
      </c>
    </row>
    <row r="620" spans="1:13" ht="15.75" thickBot="1" x14ac:dyDescent="0.3">
      <c r="A620" s="72"/>
      <c r="B620" s="75"/>
      <c r="C620" s="75"/>
      <c r="D620" s="8" t="s">
        <v>30</v>
      </c>
      <c r="E620" s="69"/>
      <c r="F620" s="44">
        <v>400</v>
      </c>
      <c r="G620" s="44">
        <v>1000</v>
      </c>
      <c r="H620" s="44">
        <v>1622.5</v>
      </c>
      <c r="I620" s="8" t="s">
        <v>1060</v>
      </c>
      <c r="J620" s="9" t="s">
        <v>93</v>
      </c>
      <c r="K620" s="9"/>
      <c r="L620" s="9"/>
      <c r="M620" s="23">
        <v>1</v>
      </c>
    </row>
    <row r="621" spans="1:13" ht="48.75" customHeight="1" x14ac:dyDescent="0.25">
      <c r="A621" s="70" t="s">
        <v>1076</v>
      </c>
      <c r="B621" s="73" t="s">
        <v>1077</v>
      </c>
      <c r="C621" s="73" t="s">
        <v>1043</v>
      </c>
      <c r="D621" s="11"/>
      <c r="E621" s="67" t="s">
        <v>519</v>
      </c>
      <c r="F621" s="52">
        <f>SUM(F622:F623)</f>
        <v>1550</v>
      </c>
      <c r="G621" s="52">
        <f>SUM(G622:G623)</f>
        <v>2005.5</v>
      </c>
      <c r="H621" s="52">
        <f>SUM(H622:H623)</f>
        <v>2054.5</v>
      </c>
      <c r="I621" s="11" t="s">
        <v>325</v>
      </c>
      <c r="J621" s="13" t="s">
        <v>22</v>
      </c>
      <c r="K621" s="13">
        <v>1</v>
      </c>
      <c r="L621" s="13"/>
      <c r="M621" s="24"/>
    </row>
    <row r="622" spans="1:13" x14ac:dyDescent="0.25">
      <c r="A622" s="71"/>
      <c r="B622" s="74"/>
      <c r="C622" s="74"/>
      <c r="D622" s="8" t="s">
        <v>42</v>
      </c>
      <c r="E622" s="69"/>
      <c r="F622" s="44">
        <v>250</v>
      </c>
      <c r="G622" s="44">
        <v>173</v>
      </c>
      <c r="H622" s="44">
        <v>512</v>
      </c>
      <c r="I622" s="8" t="s">
        <v>1055</v>
      </c>
      <c r="J622" s="9" t="s">
        <v>27</v>
      </c>
      <c r="K622" s="9">
        <v>25</v>
      </c>
      <c r="L622" s="9">
        <v>55</v>
      </c>
      <c r="M622" s="23">
        <v>100</v>
      </c>
    </row>
    <row r="623" spans="1:13" ht="15.75" thickBot="1" x14ac:dyDescent="0.3">
      <c r="A623" s="72"/>
      <c r="B623" s="75"/>
      <c r="C623" s="75"/>
      <c r="D623" s="8" t="s">
        <v>30</v>
      </c>
      <c r="E623" s="69"/>
      <c r="F623" s="44">
        <v>1300</v>
      </c>
      <c r="G623" s="44">
        <v>1832.5</v>
      </c>
      <c r="H623" s="44">
        <v>1542.5</v>
      </c>
      <c r="I623" s="8" t="s">
        <v>1060</v>
      </c>
      <c r="J623" s="9" t="s">
        <v>93</v>
      </c>
      <c r="K623" s="9"/>
      <c r="L623" s="9"/>
      <c r="M623" s="23">
        <v>1</v>
      </c>
    </row>
    <row r="624" spans="1:13" ht="51.75" customHeight="1" x14ac:dyDescent="0.25">
      <c r="A624" s="70" t="s">
        <v>1078</v>
      </c>
      <c r="B624" s="73" t="s">
        <v>1079</v>
      </c>
      <c r="C624" s="73" t="s">
        <v>1043</v>
      </c>
      <c r="D624" s="11"/>
      <c r="E624" s="67" t="s">
        <v>519</v>
      </c>
      <c r="F624" s="52">
        <f>SUM(F625:F626)</f>
        <v>460</v>
      </c>
      <c r="G624" s="52">
        <f>SUM(G625:G626)</f>
        <v>2230</v>
      </c>
      <c r="H624" s="52">
        <f>SUM(H625:H626)</f>
        <v>2875</v>
      </c>
      <c r="I624" s="11" t="s">
        <v>325</v>
      </c>
      <c r="J624" s="13" t="s">
        <v>22</v>
      </c>
      <c r="K624" s="13">
        <v>1</v>
      </c>
      <c r="L624" s="13"/>
      <c r="M624" s="24"/>
    </row>
    <row r="625" spans="1:13" x14ac:dyDescent="0.25">
      <c r="A625" s="71"/>
      <c r="B625" s="74"/>
      <c r="C625" s="74"/>
      <c r="D625" s="8" t="s">
        <v>42</v>
      </c>
      <c r="E625" s="69"/>
      <c r="F625" s="44">
        <v>260</v>
      </c>
      <c r="G625" s="44">
        <v>230</v>
      </c>
      <c r="H625" s="44">
        <v>2525</v>
      </c>
      <c r="I625" s="8" t="s">
        <v>1055</v>
      </c>
      <c r="J625" s="9" t="s">
        <v>27</v>
      </c>
      <c r="K625" s="9">
        <v>6</v>
      </c>
      <c r="L625" s="9">
        <v>51</v>
      </c>
      <c r="M625" s="23">
        <v>100</v>
      </c>
    </row>
    <row r="626" spans="1:13" ht="15.75" thickBot="1" x14ac:dyDescent="0.3">
      <c r="A626" s="72"/>
      <c r="B626" s="75"/>
      <c r="C626" s="75"/>
      <c r="D626" s="8" t="s">
        <v>30</v>
      </c>
      <c r="E626" s="69"/>
      <c r="F626" s="44">
        <v>200</v>
      </c>
      <c r="G626" s="44">
        <v>2000</v>
      </c>
      <c r="H626" s="44">
        <v>350</v>
      </c>
      <c r="I626" s="8" t="s">
        <v>1060</v>
      </c>
      <c r="J626" s="9" t="s">
        <v>93</v>
      </c>
      <c r="K626" s="9"/>
      <c r="L626" s="9"/>
      <c r="M626" s="23">
        <v>1</v>
      </c>
    </row>
    <row r="627" spans="1:13" ht="80.25" customHeight="1" x14ac:dyDescent="0.25">
      <c r="A627" s="70" t="s">
        <v>1080</v>
      </c>
      <c r="B627" s="73" t="s">
        <v>1081</v>
      </c>
      <c r="C627" s="73" t="s">
        <v>1043</v>
      </c>
      <c r="D627" s="11"/>
      <c r="E627" s="67" t="s">
        <v>519</v>
      </c>
      <c r="F627" s="52">
        <f>SUM(F628:F629)</f>
        <v>3200</v>
      </c>
      <c r="G627" s="52">
        <f>SUM(G628:G629)</f>
        <v>1705</v>
      </c>
      <c r="H627" s="52">
        <f>SUM(H628:H629)</f>
        <v>0</v>
      </c>
      <c r="I627" s="84" t="s">
        <v>1055</v>
      </c>
      <c r="J627" s="102" t="s">
        <v>27</v>
      </c>
      <c r="K627" s="102">
        <v>60</v>
      </c>
      <c r="L627" s="102">
        <v>100</v>
      </c>
      <c r="M627" s="139"/>
    </row>
    <row r="628" spans="1:13" x14ac:dyDescent="0.25">
      <c r="A628" s="71"/>
      <c r="B628" s="74"/>
      <c r="C628" s="74"/>
      <c r="D628" s="8" t="s">
        <v>42</v>
      </c>
      <c r="E628" s="69"/>
      <c r="F628" s="44">
        <v>480</v>
      </c>
      <c r="G628" s="44">
        <v>450</v>
      </c>
      <c r="H628" s="44">
        <v>0</v>
      </c>
      <c r="I628" s="85"/>
      <c r="J628" s="100"/>
      <c r="K628" s="100"/>
      <c r="L628" s="100"/>
      <c r="M628" s="140"/>
    </row>
    <row r="629" spans="1:13" ht="15.75" thickBot="1" x14ac:dyDescent="0.3">
      <c r="A629" s="72"/>
      <c r="B629" s="75"/>
      <c r="C629" s="75"/>
      <c r="D629" s="8" t="s">
        <v>30</v>
      </c>
      <c r="E629" s="69"/>
      <c r="F629" s="44">
        <v>2720</v>
      </c>
      <c r="G629" s="44">
        <v>1255</v>
      </c>
      <c r="H629" s="44">
        <v>0</v>
      </c>
      <c r="I629" s="86"/>
      <c r="J629" s="101"/>
      <c r="K629" s="101"/>
      <c r="L629" s="101"/>
      <c r="M629" s="124"/>
    </row>
    <row r="630" spans="1:13" ht="29.25" customHeight="1" thickBot="1" x14ac:dyDescent="0.3">
      <c r="A630" s="10" t="s">
        <v>1082</v>
      </c>
      <c r="B630" s="11" t="s">
        <v>1083</v>
      </c>
      <c r="C630" s="12" t="s">
        <v>1013</v>
      </c>
      <c r="D630" s="11" t="s">
        <v>42</v>
      </c>
      <c r="E630" s="67" t="s">
        <v>519</v>
      </c>
      <c r="F630" s="56">
        <v>350</v>
      </c>
      <c r="G630" s="56">
        <v>0</v>
      </c>
      <c r="H630" s="56">
        <v>0</v>
      </c>
      <c r="I630" s="11" t="s">
        <v>1084</v>
      </c>
      <c r="J630" s="13" t="s">
        <v>27</v>
      </c>
      <c r="K630" s="13">
        <v>100</v>
      </c>
      <c r="L630" s="13">
        <v>0</v>
      </c>
      <c r="M630" s="24">
        <v>0</v>
      </c>
    </row>
    <row r="631" spans="1:13" ht="30.75" hidden="1" thickBot="1" x14ac:dyDescent="0.3">
      <c r="A631" s="10" t="s">
        <v>1085</v>
      </c>
      <c r="B631" s="11" t="s">
        <v>1086</v>
      </c>
      <c r="C631" s="12" t="s">
        <v>1013</v>
      </c>
      <c r="D631" s="11"/>
      <c r="E631" s="11"/>
      <c r="F631" s="56">
        <v>0</v>
      </c>
      <c r="G631" s="56">
        <v>0</v>
      </c>
      <c r="H631" s="56">
        <v>0</v>
      </c>
      <c r="I631" s="11" t="s">
        <v>1087</v>
      </c>
      <c r="J631" s="13" t="s">
        <v>27</v>
      </c>
      <c r="K631" s="13">
        <v>100</v>
      </c>
      <c r="L631" s="13">
        <v>0</v>
      </c>
      <c r="M631" s="24">
        <v>0</v>
      </c>
    </row>
    <row r="632" spans="1:13" ht="30" x14ac:dyDescent="0.25">
      <c r="A632" s="76" t="s">
        <v>1088</v>
      </c>
      <c r="B632" s="78" t="s">
        <v>1089</v>
      </c>
      <c r="C632" s="79"/>
      <c r="D632" s="79"/>
      <c r="E632" s="80"/>
      <c r="F632" s="121">
        <f>F633+F634+F635+F636+F638+F640</f>
        <v>144</v>
      </c>
      <c r="G632" s="121">
        <f>G633+G634+G635+G636+G638+G640</f>
        <v>144</v>
      </c>
      <c r="H632" s="121">
        <f>H633+H634+H635+H636+H638+H640</f>
        <v>549</v>
      </c>
      <c r="I632" s="64" t="s">
        <v>1090</v>
      </c>
      <c r="J632" s="7" t="s">
        <v>97</v>
      </c>
      <c r="K632" s="7">
        <v>802.1</v>
      </c>
      <c r="L632" s="7">
        <v>750.3</v>
      </c>
      <c r="M632" s="25">
        <v>724.4</v>
      </c>
    </row>
    <row r="633" spans="1:13" x14ac:dyDescent="0.25">
      <c r="A633" s="94"/>
      <c r="B633" s="95"/>
      <c r="C633" s="96"/>
      <c r="D633" s="96"/>
      <c r="E633" s="97"/>
      <c r="F633" s="144"/>
      <c r="G633" s="144"/>
      <c r="H633" s="144"/>
      <c r="I633" s="65" t="s">
        <v>1091</v>
      </c>
      <c r="J633" s="34" t="s">
        <v>27</v>
      </c>
      <c r="K633" s="34">
        <v>8.4</v>
      </c>
      <c r="L633" s="34">
        <v>8.6</v>
      </c>
      <c r="M633" s="35">
        <v>8.8000000000000007</v>
      </c>
    </row>
    <row r="634" spans="1:13" ht="15.75" thickBot="1" x14ac:dyDescent="0.3">
      <c r="A634" s="77"/>
      <c r="B634" s="81"/>
      <c r="C634" s="82"/>
      <c r="D634" s="82"/>
      <c r="E634" s="83"/>
      <c r="F634" s="122"/>
      <c r="G634" s="122"/>
      <c r="H634" s="122"/>
      <c r="I634" s="65" t="s">
        <v>1092</v>
      </c>
      <c r="J634" s="34" t="s">
        <v>97</v>
      </c>
      <c r="K634" s="36">
        <v>1482</v>
      </c>
      <c r="L634" s="36">
        <v>1647</v>
      </c>
      <c r="M634" s="37">
        <v>1812</v>
      </c>
    </row>
    <row r="635" spans="1:13" ht="30.75" thickBot="1" x14ac:dyDescent="0.3">
      <c r="A635" s="10" t="s">
        <v>1093</v>
      </c>
      <c r="B635" s="11" t="s">
        <v>1094</v>
      </c>
      <c r="C635" s="12" t="s">
        <v>934</v>
      </c>
      <c r="D635" s="11" t="s">
        <v>42</v>
      </c>
      <c r="E635" s="11"/>
      <c r="F635" s="56">
        <v>119</v>
      </c>
      <c r="G635" s="56">
        <v>119</v>
      </c>
      <c r="H635" s="56">
        <v>119</v>
      </c>
      <c r="I635" s="11" t="s">
        <v>1095</v>
      </c>
      <c r="J635" s="13" t="s">
        <v>97</v>
      </c>
      <c r="K635" s="30">
        <v>1100</v>
      </c>
      <c r="L635" s="30">
        <v>1100</v>
      </c>
      <c r="M635" s="31">
        <v>1100</v>
      </c>
    </row>
    <row r="636" spans="1:13" ht="30" x14ac:dyDescent="0.25">
      <c r="A636" s="70" t="s">
        <v>1096</v>
      </c>
      <c r="B636" s="73" t="s">
        <v>1097</v>
      </c>
      <c r="C636" s="73" t="s">
        <v>173</v>
      </c>
      <c r="D636" s="11" t="s">
        <v>42</v>
      </c>
      <c r="E636" s="11"/>
      <c r="F636" s="52">
        <f>SUM(F637:F637)</f>
        <v>0</v>
      </c>
      <c r="G636" s="52">
        <f>SUM(G637:G637)</f>
        <v>0</v>
      </c>
      <c r="H636" s="52">
        <f>SUM(H637:H637)+50</f>
        <v>50</v>
      </c>
      <c r="I636" s="11" t="s">
        <v>1098</v>
      </c>
      <c r="J636" s="13" t="s">
        <v>22</v>
      </c>
      <c r="K636" s="13">
        <v>0</v>
      </c>
      <c r="L636" s="13">
        <v>0</v>
      </c>
      <c r="M636" s="24">
        <v>1</v>
      </c>
    </row>
    <row r="637" spans="1:13" ht="17.25" customHeight="1" thickBot="1" x14ac:dyDescent="0.3">
      <c r="A637" s="72"/>
      <c r="B637" s="75"/>
      <c r="C637" s="75"/>
      <c r="D637" s="8"/>
      <c r="E637" s="8"/>
      <c r="F637" s="44">
        <v>0</v>
      </c>
      <c r="G637" s="44">
        <v>0</v>
      </c>
      <c r="H637" s="44">
        <v>0</v>
      </c>
      <c r="I637" s="8" t="s">
        <v>1099</v>
      </c>
      <c r="J637" s="9" t="s">
        <v>22</v>
      </c>
      <c r="K637" s="9">
        <v>0</v>
      </c>
      <c r="L637" s="9">
        <v>0</v>
      </c>
      <c r="M637" s="23">
        <v>1</v>
      </c>
    </row>
    <row r="638" spans="1:13" x14ac:dyDescent="0.25">
      <c r="A638" s="70" t="s">
        <v>1100</v>
      </c>
      <c r="B638" s="73" t="s">
        <v>1101</v>
      </c>
      <c r="C638" s="73" t="s">
        <v>173</v>
      </c>
      <c r="D638" s="11" t="s">
        <v>42</v>
      </c>
      <c r="E638" s="67" t="s">
        <v>519</v>
      </c>
      <c r="F638" s="52">
        <f>SUM(F639:F639)</f>
        <v>0</v>
      </c>
      <c r="G638" s="52">
        <f>SUM(G639:G639)</f>
        <v>0</v>
      </c>
      <c r="H638" s="52">
        <f>SUM(H639:H639)+350</f>
        <v>350</v>
      </c>
      <c r="I638" s="11" t="s">
        <v>1292</v>
      </c>
      <c r="J638" s="13" t="s">
        <v>22</v>
      </c>
      <c r="K638" s="13">
        <v>0</v>
      </c>
      <c r="L638" s="13">
        <v>0</v>
      </c>
      <c r="M638" s="24">
        <v>1</v>
      </c>
    </row>
    <row r="639" spans="1:13" ht="15.75" thickBot="1" x14ac:dyDescent="0.3">
      <c r="A639" s="72"/>
      <c r="B639" s="75"/>
      <c r="C639" s="75"/>
      <c r="D639" s="8"/>
      <c r="E639" s="8"/>
      <c r="F639" s="44">
        <v>0</v>
      </c>
      <c r="G639" s="44">
        <v>0</v>
      </c>
      <c r="H639" s="44">
        <v>0</v>
      </c>
      <c r="I639" s="8" t="s">
        <v>1291</v>
      </c>
      <c r="J639" s="9" t="s">
        <v>22</v>
      </c>
      <c r="K639" s="9">
        <v>0</v>
      </c>
      <c r="L639" s="9">
        <v>1</v>
      </c>
      <c r="M639" s="23">
        <v>0</v>
      </c>
    </row>
    <row r="640" spans="1:13" x14ac:dyDescent="0.25">
      <c r="A640" s="70" t="s">
        <v>1102</v>
      </c>
      <c r="B640" s="73" t="s">
        <v>172</v>
      </c>
      <c r="C640" s="73" t="s">
        <v>173</v>
      </c>
      <c r="D640" s="84" t="s">
        <v>42</v>
      </c>
      <c r="E640" s="84"/>
      <c r="F640" s="103">
        <f>SUM(F641:F642)+25</f>
        <v>25</v>
      </c>
      <c r="G640" s="103">
        <f>SUM(G641:G642)+25</f>
        <v>25</v>
      </c>
      <c r="H640" s="103">
        <f>SUM(H641:H642)+30</f>
        <v>30</v>
      </c>
      <c r="I640" s="11" t="s">
        <v>1103</v>
      </c>
      <c r="J640" s="13" t="s">
        <v>22</v>
      </c>
      <c r="K640" s="13">
        <v>5</v>
      </c>
      <c r="L640" s="13">
        <v>6</v>
      </c>
      <c r="M640" s="24">
        <v>6</v>
      </c>
    </row>
    <row r="641" spans="1:13" x14ac:dyDescent="0.25">
      <c r="A641" s="71"/>
      <c r="B641" s="74"/>
      <c r="C641" s="74"/>
      <c r="D641" s="85"/>
      <c r="E641" s="85"/>
      <c r="F641" s="108"/>
      <c r="G641" s="108"/>
      <c r="H641" s="108"/>
      <c r="I641" s="8" t="s">
        <v>1104</v>
      </c>
      <c r="J641" s="9" t="s">
        <v>97</v>
      </c>
      <c r="K641" s="26">
        <v>1000</v>
      </c>
      <c r="L641" s="26">
        <v>1000</v>
      </c>
      <c r="M641" s="27">
        <v>1000</v>
      </c>
    </row>
    <row r="642" spans="1:13" ht="30.75" thickBot="1" x14ac:dyDescent="0.3">
      <c r="A642" s="72"/>
      <c r="B642" s="75"/>
      <c r="C642" s="75"/>
      <c r="D642" s="86"/>
      <c r="E642" s="86"/>
      <c r="F642" s="104"/>
      <c r="G642" s="104"/>
      <c r="H642" s="104"/>
      <c r="I642" s="8" t="s">
        <v>1105</v>
      </c>
      <c r="J642" s="9" t="s">
        <v>27</v>
      </c>
      <c r="K642" s="9">
        <v>0.6</v>
      </c>
      <c r="L642" s="9">
        <v>0.6</v>
      </c>
      <c r="M642" s="23">
        <v>0.6</v>
      </c>
    </row>
    <row r="643" spans="1:13" ht="30" x14ac:dyDescent="0.25">
      <c r="A643" s="76" t="s">
        <v>1106</v>
      </c>
      <c r="B643" s="78" t="s">
        <v>1107</v>
      </c>
      <c r="C643" s="79"/>
      <c r="D643" s="79"/>
      <c r="E643" s="80"/>
      <c r="F643" s="121">
        <f>F644+F645+F646+F654+F656+F657+F660+F667+F670+F671+F678+F679+F680+F681+F683+F684</f>
        <v>131261.6</v>
      </c>
      <c r="G643" s="121">
        <f>G644+G645+G646+G654+G656+G657+G660+G667+G670+G671+G678+G679+G680+G681+G683+G684</f>
        <v>131790.80000000002</v>
      </c>
      <c r="H643" s="121">
        <f>H644+H645+H646+H654+H656+H657+H660+H667+H670+H671+H678+H679+H680+H681+H683+H684</f>
        <v>132596.30000000002</v>
      </c>
      <c r="I643" s="64" t="s">
        <v>1108</v>
      </c>
      <c r="J643" s="7" t="s">
        <v>27</v>
      </c>
      <c r="K643" s="7">
        <v>73</v>
      </c>
      <c r="L643" s="7">
        <v>73</v>
      </c>
      <c r="M643" s="25">
        <v>73</v>
      </c>
    </row>
    <row r="644" spans="1:13" ht="30" x14ac:dyDescent="0.25">
      <c r="A644" s="94"/>
      <c r="B644" s="95"/>
      <c r="C644" s="96"/>
      <c r="D644" s="96"/>
      <c r="E644" s="97"/>
      <c r="F644" s="144"/>
      <c r="G644" s="144"/>
      <c r="H644" s="144"/>
      <c r="I644" s="65" t="s">
        <v>1109</v>
      </c>
      <c r="J644" s="34" t="s">
        <v>97</v>
      </c>
      <c r="K644" s="34">
        <v>3.5</v>
      </c>
      <c r="L644" s="34">
        <v>3.5</v>
      </c>
      <c r="M644" s="35">
        <v>3.5</v>
      </c>
    </row>
    <row r="645" spans="1:13" ht="32.25" customHeight="1" thickBot="1" x14ac:dyDescent="0.3">
      <c r="A645" s="77"/>
      <c r="B645" s="81"/>
      <c r="C645" s="82"/>
      <c r="D645" s="82"/>
      <c r="E645" s="83"/>
      <c r="F645" s="122"/>
      <c r="G645" s="122"/>
      <c r="H645" s="122"/>
      <c r="I645" s="65" t="s">
        <v>1110</v>
      </c>
      <c r="J645" s="34" t="s">
        <v>27</v>
      </c>
      <c r="K645" s="34">
        <v>74</v>
      </c>
      <c r="L645" s="34">
        <v>74</v>
      </c>
      <c r="M645" s="35">
        <v>74</v>
      </c>
    </row>
    <row r="646" spans="1:13" x14ac:dyDescent="0.25">
      <c r="A646" s="70" t="s">
        <v>1111</v>
      </c>
      <c r="B646" s="73" t="s">
        <v>1112</v>
      </c>
      <c r="C646" s="73" t="s">
        <v>934</v>
      </c>
      <c r="D646" s="11"/>
      <c r="E646" s="11"/>
      <c r="F646" s="52">
        <f>SUM(F647:F653)</f>
        <v>84852.3</v>
      </c>
      <c r="G646" s="52">
        <f>SUM(G647:G653)</f>
        <v>84849.3</v>
      </c>
      <c r="H646" s="52">
        <f>SUM(H647:H653)</f>
        <v>84969.900000000009</v>
      </c>
      <c r="I646" s="11" t="s">
        <v>1113</v>
      </c>
      <c r="J646" s="13" t="s">
        <v>22</v>
      </c>
      <c r="K646" s="13">
        <v>30</v>
      </c>
      <c r="L646" s="13">
        <v>30</v>
      </c>
      <c r="M646" s="24">
        <v>30</v>
      </c>
    </row>
    <row r="647" spans="1:13" x14ac:dyDescent="0.25">
      <c r="A647" s="71"/>
      <c r="B647" s="74"/>
      <c r="C647" s="74"/>
      <c r="D647" s="8" t="s">
        <v>108</v>
      </c>
      <c r="E647" s="8"/>
      <c r="F647" s="44">
        <v>2078.6</v>
      </c>
      <c r="G647" s="44">
        <v>2080.3000000000002</v>
      </c>
      <c r="H647" s="44">
        <v>2082</v>
      </c>
      <c r="I647" s="8" t="s">
        <v>1114</v>
      </c>
      <c r="J647" s="9" t="s">
        <v>97</v>
      </c>
      <c r="K647" s="26">
        <v>14900</v>
      </c>
      <c r="L647" s="26">
        <v>14900</v>
      </c>
      <c r="M647" s="27">
        <v>14900</v>
      </c>
    </row>
    <row r="648" spans="1:13" x14ac:dyDescent="0.25">
      <c r="A648" s="71"/>
      <c r="B648" s="74"/>
      <c r="C648" s="74"/>
      <c r="D648" s="8" t="s">
        <v>1115</v>
      </c>
      <c r="E648" s="8"/>
      <c r="F648" s="44">
        <v>54224.6</v>
      </c>
      <c r="G648" s="44">
        <v>54224.6</v>
      </c>
      <c r="H648" s="44">
        <v>54224.6</v>
      </c>
      <c r="I648" s="8" t="s">
        <v>1116</v>
      </c>
      <c r="J648" s="9" t="s">
        <v>22</v>
      </c>
      <c r="K648" s="9">
        <v>1</v>
      </c>
      <c r="L648" s="9">
        <v>1</v>
      </c>
      <c r="M648" s="23">
        <v>1</v>
      </c>
    </row>
    <row r="649" spans="1:13" ht="30" x14ac:dyDescent="0.25">
      <c r="A649" s="71"/>
      <c r="B649" s="74"/>
      <c r="C649" s="74"/>
      <c r="D649" s="8" t="s">
        <v>739</v>
      </c>
      <c r="E649" s="8"/>
      <c r="F649" s="44">
        <v>1545.1</v>
      </c>
      <c r="G649" s="44">
        <v>1229.7</v>
      </c>
      <c r="H649" s="44">
        <v>889.5</v>
      </c>
      <c r="I649" s="8" t="s">
        <v>1117</v>
      </c>
      <c r="J649" s="9" t="s">
        <v>22</v>
      </c>
      <c r="K649" s="9">
        <v>1</v>
      </c>
      <c r="L649" s="9">
        <v>1</v>
      </c>
      <c r="M649" s="23">
        <v>1</v>
      </c>
    </row>
    <row r="650" spans="1:13" x14ac:dyDescent="0.25">
      <c r="A650" s="71"/>
      <c r="B650" s="74"/>
      <c r="C650" s="74"/>
      <c r="D650" s="8" t="s">
        <v>136</v>
      </c>
      <c r="E650" s="8"/>
      <c r="F650" s="44">
        <v>835.9</v>
      </c>
      <c r="G650" s="44">
        <v>765.6</v>
      </c>
      <c r="H650" s="44">
        <v>735</v>
      </c>
      <c r="I650" s="8" t="s">
        <v>1118</v>
      </c>
      <c r="J650" s="9" t="s">
        <v>22</v>
      </c>
      <c r="K650" s="9">
        <v>30</v>
      </c>
      <c r="L650" s="9">
        <v>30</v>
      </c>
      <c r="M650" s="23">
        <v>30</v>
      </c>
    </row>
    <row r="651" spans="1:13" ht="45" x14ac:dyDescent="0.25">
      <c r="A651" s="71"/>
      <c r="B651" s="74"/>
      <c r="C651" s="74"/>
      <c r="D651" s="8" t="s">
        <v>42</v>
      </c>
      <c r="E651" s="8"/>
      <c r="F651" s="44">
        <v>19713.3</v>
      </c>
      <c r="G651" s="44">
        <v>20094.3</v>
      </c>
      <c r="H651" s="44">
        <v>20584</v>
      </c>
      <c r="I651" s="8" t="s">
        <v>1119</v>
      </c>
      <c r="J651" s="9" t="s">
        <v>97</v>
      </c>
      <c r="K651" s="26">
        <v>14000</v>
      </c>
      <c r="L651" s="26">
        <v>14000</v>
      </c>
      <c r="M651" s="27">
        <v>14000</v>
      </c>
    </row>
    <row r="652" spans="1:13" ht="30" x14ac:dyDescent="0.25">
      <c r="A652" s="71"/>
      <c r="B652" s="74"/>
      <c r="C652" s="74"/>
      <c r="D652" s="8" t="s">
        <v>284</v>
      </c>
      <c r="E652" s="8"/>
      <c r="F652" s="44">
        <v>190</v>
      </c>
      <c r="G652" s="44">
        <v>190</v>
      </c>
      <c r="H652" s="44">
        <v>190</v>
      </c>
      <c r="I652" s="8" t="s">
        <v>1120</v>
      </c>
      <c r="J652" s="9" t="s">
        <v>22</v>
      </c>
      <c r="K652" s="9">
        <v>2</v>
      </c>
      <c r="L652" s="9">
        <v>2</v>
      </c>
      <c r="M652" s="23">
        <v>2</v>
      </c>
    </row>
    <row r="653" spans="1:13" ht="30.75" thickBot="1" x14ac:dyDescent="0.3">
      <c r="A653" s="72"/>
      <c r="B653" s="75"/>
      <c r="C653" s="75"/>
      <c r="D653" s="8" t="s">
        <v>28</v>
      </c>
      <c r="E653" s="8"/>
      <c r="F653" s="44">
        <v>6264.8</v>
      </c>
      <c r="G653" s="44">
        <v>6264.8</v>
      </c>
      <c r="H653" s="44">
        <v>6264.8</v>
      </c>
      <c r="I653" s="8" t="s">
        <v>1121</v>
      </c>
      <c r="J653" s="9" t="s">
        <v>22</v>
      </c>
      <c r="K653" s="9">
        <v>1</v>
      </c>
      <c r="L653" s="9">
        <v>1</v>
      </c>
      <c r="M653" s="23">
        <v>1</v>
      </c>
    </row>
    <row r="654" spans="1:13" ht="30" x14ac:dyDescent="0.25">
      <c r="A654" s="70" t="s">
        <v>1122</v>
      </c>
      <c r="B654" s="73" t="s">
        <v>1123</v>
      </c>
      <c r="C654" s="73" t="s">
        <v>934</v>
      </c>
      <c r="D654" s="84" t="s">
        <v>1115</v>
      </c>
      <c r="E654" s="84"/>
      <c r="F654" s="103">
        <f>SUM(F655:F655)+1272.5</f>
        <v>1272.5</v>
      </c>
      <c r="G654" s="103">
        <f>SUM(G655:G655)+1272.5</f>
        <v>1272.5</v>
      </c>
      <c r="H654" s="103">
        <f>SUM(H655:H655)+1272.5</f>
        <v>1272.5</v>
      </c>
      <c r="I654" s="11" t="s">
        <v>1124</v>
      </c>
      <c r="J654" s="13" t="s">
        <v>22</v>
      </c>
      <c r="K654" s="13">
        <v>52</v>
      </c>
      <c r="L654" s="13">
        <v>52</v>
      </c>
      <c r="M654" s="24">
        <v>52</v>
      </c>
    </row>
    <row r="655" spans="1:13" ht="30.75" thickBot="1" x14ac:dyDescent="0.3">
      <c r="A655" s="72"/>
      <c r="B655" s="75"/>
      <c r="C655" s="75"/>
      <c r="D655" s="86"/>
      <c r="E655" s="86"/>
      <c r="F655" s="104"/>
      <c r="G655" s="104"/>
      <c r="H655" s="104"/>
      <c r="I655" s="8" t="s">
        <v>1125</v>
      </c>
      <c r="J655" s="9" t="s">
        <v>22</v>
      </c>
      <c r="K655" s="9">
        <v>30</v>
      </c>
      <c r="L655" s="9">
        <v>30</v>
      </c>
      <c r="M655" s="23">
        <v>30</v>
      </c>
    </row>
    <row r="656" spans="1:13" ht="30.75" thickBot="1" x14ac:dyDescent="0.3">
      <c r="A656" s="10" t="s">
        <v>1126</v>
      </c>
      <c r="B656" s="11" t="s">
        <v>1127</v>
      </c>
      <c r="C656" s="12" t="s">
        <v>934</v>
      </c>
      <c r="D656" s="11" t="s">
        <v>42</v>
      </c>
      <c r="E656" s="11"/>
      <c r="F656" s="56">
        <v>80</v>
      </c>
      <c r="G656" s="56">
        <v>80</v>
      </c>
      <c r="H656" s="56">
        <v>80</v>
      </c>
      <c r="I656" s="11" t="s">
        <v>1128</v>
      </c>
      <c r="J656" s="13" t="s">
        <v>97</v>
      </c>
      <c r="K656" s="13">
        <v>650</v>
      </c>
      <c r="L656" s="13">
        <v>650</v>
      </c>
      <c r="M656" s="24">
        <v>650</v>
      </c>
    </row>
    <row r="657" spans="1:13" ht="48" customHeight="1" x14ac:dyDescent="0.25">
      <c r="A657" s="70" t="s">
        <v>1129</v>
      </c>
      <c r="B657" s="73" t="s">
        <v>1130</v>
      </c>
      <c r="C657" s="73" t="s">
        <v>934</v>
      </c>
      <c r="D657" s="11"/>
      <c r="E657" s="11"/>
      <c r="F657" s="52">
        <f>SUM(F658:F659)</f>
        <v>1281.6000000000001</v>
      </c>
      <c r="G657" s="52">
        <f>SUM(G658:G659)</f>
        <v>1282</v>
      </c>
      <c r="H657" s="52">
        <f>SUM(H658:H659)</f>
        <v>1281.6000000000001</v>
      </c>
      <c r="I657" s="11" t="s">
        <v>1131</v>
      </c>
      <c r="J657" s="13" t="s">
        <v>22</v>
      </c>
      <c r="K657" s="13">
        <v>4</v>
      </c>
      <c r="L657" s="13">
        <v>4</v>
      </c>
      <c r="M657" s="24">
        <v>4</v>
      </c>
    </row>
    <row r="658" spans="1:13" ht="30" customHeight="1" x14ac:dyDescent="0.25">
      <c r="A658" s="71"/>
      <c r="B658" s="74"/>
      <c r="C658" s="74"/>
      <c r="D658" s="8" t="s">
        <v>42</v>
      </c>
      <c r="E658" s="8"/>
      <c r="F658" s="44">
        <v>84.9</v>
      </c>
      <c r="G658" s="44">
        <v>85.3</v>
      </c>
      <c r="H658" s="44">
        <v>84.9</v>
      </c>
      <c r="I658" s="98" t="s">
        <v>1132</v>
      </c>
      <c r="J658" s="99" t="s">
        <v>22</v>
      </c>
      <c r="K658" s="99">
        <v>1</v>
      </c>
      <c r="L658" s="99">
        <v>1</v>
      </c>
      <c r="M658" s="123">
        <v>1</v>
      </c>
    </row>
    <row r="659" spans="1:13" ht="15.75" thickBot="1" x14ac:dyDescent="0.3">
      <c r="A659" s="72"/>
      <c r="B659" s="75"/>
      <c r="C659" s="75"/>
      <c r="D659" s="8" t="s">
        <v>1115</v>
      </c>
      <c r="E659" s="8"/>
      <c r="F659" s="44">
        <v>1196.7</v>
      </c>
      <c r="G659" s="44">
        <v>1196.7</v>
      </c>
      <c r="H659" s="44">
        <v>1196.7</v>
      </c>
      <c r="I659" s="86"/>
      <c r="J659" s="101"/>
      <c r="K659" s="101"/>
      <c r="L659" s="101"/>
      <c r="M659" s="124"/>
    </row>
    <row r="660" spans="1:13" x14ac:dyDescent="0.25">
      <c r="A660" s="70" t="s">
        <v>1133</v>
      </c>
      <c r="B660" s="73" t="s">
        <v>1134</v>
      </c>
      <c r="C660" s="73" t="s">
        <v>1135</v>
      </c>
      <c r="D660" s="11"/>
      <c r="E660" s="11"/>
      <c r="F660" s="52">
        <f>SUM(F661:F666)</f>
        <v>8274.2000000000007</v>
      </c>
      <c r="G660" s="52">
        <f>SUM(G661:G666)</f>
        <v>8294.2000000000007</v>
      </c>
      <c r="H660" s="52">
        <f>SUM(H661:H666)</f>
        <v>8543.6</v>
      </c>
      <c r="I660" s="11" t="s">
        <v>1136</v>
      </c>
      <c r="J660" s="13" t="s">
        <v>22</v>
      </c>
      <c r="K660" s="13">
        <v>8</v>
      </c>
      <c r="L660" s="13">
        <v>8</v>
      </c>
      <c r="M660" s="24">
        <v>8</v>
      </c>
    </row>
    <row r="661" spans="1:13" ht="30" x14ac:dyDescent="0.25">
      <c r="A661" s="71"/>
      <c r="B661" s="74"/>
      <c r="C661" s="74"/>
      <c r="D661" s="8" t="s">
        <v>108</v>
      </c>
      <c r="E661" s="8"/>
      <c r="F661" s="44">
        <v>405</v>
      </c>
      <c r="G661" s="44">
        <v>405.2</v>
      </c>
      <c r="H661" s="44">
        <v>405.2</v>
      </c>
      <c r="I661" s="8" t="s">
        <v>1137</v>
      </c>
      <c r="J661" s="9" t="s">
        <v>97</v>
      </c>
      <c r="K661" s="26">
        <v>3970</v>
      </c>
      <c r="L661" s="26">
        <v>3970</v>
      </c>
      <c r="M661" s="27">
        <v>3970</v>
      </c>
    </row>
    <row r="662" spans="1:13" x14ac:dyDescent="0.25">
      <c r="A662" s="71"/>
      <c r="B662" s="74"/>
      <c r="C662" s="74"/>
      <c r="D662" s="8" t="s">
        <v>136</v>
      </c>
      <c r="E662" s="8"/>
      <c r="F662" s="44">
        <v>88.4</v>
      </c>
      <c r="G662" s="44">
        <v>85.8</v>
      </c>
      <c r="H662" s="44">
        <v>86.9</v>
      </c>
      <c r="I662" s="8" t="s">
        <v>1138</v>
      </c>
      <c r="J662" s="9" t="s">
        <v>97</v>
      </c>
      <c r="K662" s="26">
        <v>1110</v>
      </c>
      <c r="L662" s="26">
        <v>1110</v>
      </c>
      <c r="M662" s="27">
        <v>1110</v>
      </c>
    </row>
    <row r="663" spans="1:13" ht="30" x14ac:dyDescent="0.25">
      <c r="A663" s="71"/>
      <c r="B663" s="74"/>
      <c r="C663" s="74"/>
      <c r="D663" s="8" t="s">
        <v>1115</v>
      </c>
      <c r="E663" s="8"/>
      <c r="F663" s="44">
        <v>372.6</v>
      </c>
      <c r="G663" s="44">
        <v>372.6</v>
      </c>
      <c r="H663" s="44">
        <v>372.6</v>
      </c>
      <c r="I663" s="8" t="s">
        <v>1139</v>
      </c>
      <c r="J663" s="9" t="s">
        <v>22</v>
      </c>
      <c r="K663" s="9">
        <v>1</v>
      </c>
      <c r="L663" s="9">
        <v>1</v>
      </c>
      <c r="M663" s="23">
        <v>1</v>
      </c>
    </row>
    <row r="664" spans="1:13" x14ac:dyDescent="0.25">
      <c r="A664" s="71"/>
      <c r="B664" s="74"/>
      <c r="C664" s="74"/>
      <c r="D664" s="8" t="s">
        <v>739</v>
      </c>
      <c r="E664" s="8"/>
      <c r="F664" s="44">
        <v>252.6</v>
      </c>
      <c r="G664" s="44">
        <v>101.4</v>
      </c>
      <c r="H664" s="44">
        <v>171.1</v>
      </c>
      <c r="I664" s="8" t="s">
        <v>1140</v>
      </c>
      <c r="J664" s="9" t="s">
        <v>22</v>
      </c>
      <c r="K664" s="9">
        <v>12</v>
      </c>
      <c r="L664" s="9">
        <v>12</v>
      </c>
      <c r="M664" s="23">
        <v>12</v>
      </c>
    </row>
    <row r="665" spans="1:13" ht="30" customHeight="1" x14ac:dyDescent="0.25">
      <c r="A665" s="71"/>
      <c r="B665" s="74"/>
      <c r="C665" s="74"/>
      <c r="D665" s="8" t="s">
        <v>42</v>
      </c>
      <c r="E665" s="8"/>
      <c r="F665" s="44">
        <v>7145.6</v>
      </c>
      <c r="G665" s="44">
        <v>7324.2</v>
      </c>
      <c r="H665" s="44">
        <v>7502.8</v>
      </c>
      <c r="I665" s="98" t="s">
        <v>1141</v>
      </c>
      <c r="J665" s="99" t="s">
        <v>22</v>
      </c>
      <c r="K665" s="99">
        <v>12</v>
      </c>
      <c r="L665" s="99">
        <v>12</v>
      </c>
      <c r="M665" s="123">
        <v>12</v>
      </c>
    </row>
    <row r="666" spans="1:13" ht="15.75" thickBot="1" x14ac:dyDescent="0.3">
      <c r="A666" s="72"/>
      <c r="B666" s="75"/>
      <c r="C666" s="75"/>
      <c r="D666" s="8" t="s">
        <v>284</v>
      </c>
      <c r="E666" s="8"/>
      <c r="F666" s="44">
        <v>10</v>
      </c>
      <c r="G666" s="44">
        <v>5</v>
      </c>
      <c r="H666" s="44">
        <v>5</v>
      </c>
      <c r="I666" s="86"/>
      <c r="J666" s="101"/>
      <c r="K666" s="101"/>
      <c r="L666" s="101"/>
      <c r="M666" s="124"/>
    </row>
    <row r="667" spans="1:13" x14ac:dyDescent="0.25">
      <c r="A667" s="70" t="s">
        <v>1142</v>
      </c>
      <c r="B667" s="73" t="s">
        <v>1143</v>
      </c>
      <c r="C667" s="73" t="s">
        <v>934</v>
      </c>
      <c r="D667" s="84" t="s">
        <v>28</v>
      </c>
      <c r="E667" s="84"/>
      <c r="F667" s="103">
        <f>SUM(F668:F669)+826.8</f>
        <v>826.8</v>
      </c>
      <c r="G667" s="103">
        <f>SUM(G668:G669)+1000</f>
        <v>1000</v>
      </c>
      <c r="H667" s="103">
        <f>SUM(H668:H669)+1000</f>
        <v>1000</v>
      </c>
      <c r="I667" s="11" t="s">
        <v>1144</v>
      </c>
      <c r="J667" s="13" t="s">
        <v>22</v>
      </c>
      <c r="K667" s="13">
        <v>120</v>
      </c>
      <c r="L667" s="13">
        <v>120</v>
      </c>
      <c r="M667" s="24">
        <v>120</v>
      </c>
    </row>
    <row r="668" spans="1:13" x14ac:dyDescent="0.25">
      <c r="A668" s="71"/>
      <c r="B668" s="74"/>
      <c r="C668" s="74"/>
      <c r="D668" s="85"/>
      <c r="E668" s="85"/>
      <c r="F668" s="108"/>
      <c r="G668" s="108"/>
      <c r="H668" s="108"/>
      <c r="I668" s="8" t="s">
        <v>1145</v>
      </c>
      <c r="J668" s="9" t="s">
        <v>22</v>
      </c>
      <c r="K668" s="9">
        <v>55</v>
      </c>
      <c r="L668" s="9">
        <v>55</v>
      </c>
      <c r="M668" s="23">
        <v>55</v>
      </c>
    </row>
    <row r="669" spans="1:13" ht="45.75" thickBot="1" x14ac:dyDescent="0.3">
      <c r="A669" s="72"/>
      <c r="B669" s="75"/>
      <c r="C669" s="75"/>
      <c r="D669" s="86"/>
      <c r="E669" s="86"/>
      <c r="F669" s="104"/>
      <c r="G669" s="104"/>
      <c r="H669" s="104"/>
      <c r="I669" s="8" t="s">
        <v>1146</v>
      </c>
      <c r="J669" s="9" t="s">
        <v>97</v>
      </c>
      <c r="K669" s="26">
        <v>3500</v>
      </c>
      <c r="L669" s="26">
        <v>3500</v>
      </c>
      <c r="M669" s="27">
        <v>3500</v>
      </c>
    </row>
    <row r="670" spans="1:13" ht="45.75" thickBot="1" x14ac:dyDescent="0.3">
      <c r="A670" s="10" t="s">
        <v>1147</v>
      </c>
      <c r="B670" s="11" t="s">
        <v>1148</v>
      </c>
      <c r="C670" s="12" t="s">
        <v>934</v>
      </c>
      <c r="D670" s="11" t="s">
        <v>42</v>
      </c>
      <c r="E670" s="11"/>
      <c r="F670" s="56">
        <v>15</v>
      </c>
      <c r="G670" s="56">
        <v>15</v>
      </c>
      <c r="H670" s="56">
        <v>15</v>
      </c>
      <c r="I670" s="11" t="s">
        <v>1149</v>
      </c>
      <c r="J670" s="13" t="s">
        <v>97</v>
      </c>
      <c r="K670" s="13">
        <v>70</v>
      </c>
      <c r="L670" s="13">
        <v>70</v>
      </c>
      <c r="M670" s="24">
        <v>70</v>
      </c>
    </row>
    <row r="671" spans="1:13" x14ac:dyDescent="0.25">
      <c r="A671" s="70" t="s">
        <v>1150</v>
      </c>
      <c r="B671" s="73" t="s">
        <v>1151</v>
      </c>
      <c r="C671" s="73" t="s">
        <v>934</v>
      </c>
      <c r="D671" s="11"/>
      <c r="E671" s="11"/>
      <c r="F671" s="52">
        <f>SUM(F672:F677)</f>
        <v>32438.299999999996</v>
      </c>
      <c r="G671" s="52">
        <f>SUM(G672:G677)</f>
        <v>32777.1</v>
      </c>
      <c r="H671" s="52">
        <f>SUM(H672:H677)</f>
        <v>33152.80000000001</v>
      </c>
      <c r="I671" s="11" t="s">
        <v>1152</v>
      </c>
      <c r="J671" s="13" t="s">
        <v>22</v>
      </c>
      <c r="K671" s="13">
        <v>22</v>
      </c>
      <c r="L671" s="13">
        <v>22</v>
      </c>
      <c r="M671" s="24">
        <v>22</v>
      </c>
    </row>
    <row r="672" spans="1:13" x14ac:dyDescent="0.25">
      <c r="A672" s="71"/>
      <c r="B672" s="74"/>
      <c r="C672" s="74"/>
      <c r="D672" s="8" t="s">
        <v>108</v>
      </c>
      <c r="E672" s="8"/>
      <c r="F672" s="44">
        <v>2507.4</v>
      </c>
      <c r="G672" s="44">
        <v>2507.4</v>
      </c>
      <c r="H672" s="44">
        <v>2507.4</v>
      </c>
      <c r="I672" s="8" t="s">
        <v>1153</v>
      </c>
      <c r="J672" s="9" t="s">
        <v>97</v>
      </c>
      <c r="K672" s="26">
        <v>3300</v>
      </c>
      <c r="L672" s="26">
        <v>3300</v>
      </c>
      <c r="M672" s="27">
        <v>3300</v>
      </c>
    </row>
    <row r="673" spans="1:13" x14ac:dyDescent="0.25">
      <c r="A673" s="71"/>
      <c r="B673" s="74"/>
      <c r="C673" s="74"/>
      <c r="D673" s="8" t="s">
        <v>42</v>
      </c>
      <c r="E673" s="8"/>
      <c r="F673" s="44">
        <v>15864.4</v>
      </c>
      <c r="G673" s="44">
        <v>16261.1</v>
      </c>
      <c r="H673" s="44">
        <v>16657.599999999999</v>
      </c>
      <c r="I673" s="8" t="s">
        <v>1154</v>
      </c>
      <c r="J673" s="9" t="s">
        <v>22</v>
      </c>
      <c r="K673" s="9">
        <v>4</v>
      </c>
      <c r="L673" s="9">
        <v>4</v>
      </c>
      <c r="M673" s="23">
        <v>4</v>
      </c>
    </row>
    <row r="674" spans="1:13" ht="16.5" customHeight="1" x14ac:dyDescent="0.25">
      <c r="A674" s="71"/>
      <c r="B674" s="74"/>
      <c r="C674" s="74"/>
      <c r="D674" s="8" t="s">
        <v>1115</v>
      </c>
      <c r="E674" s="8"/>
      <c r="F674" s="44">
        <v>13617.3</v>
      </c>
      <c r="G674" s="44">
        <v>13617.3</v>
      </c>
      <c r="H674" s="44">
        <v>13617.3</v>
      </c>
      <c r="I674" s="98" t="s">
        <v>1155</v>
      </c>
      <c r="J674" s="99" t="s">
        <v>22</v>
      </c>
      <c r="K674" s="99">
        <v>2</v>
      </c>
      <c r="L674" s="99">
        <v>2</v>
      </c>
      <c r="M674" s="123">
        <v>2</v>
      </c>
    </row>
    <row r="675" spans="1:13" x14ac:dyDescent="0.25">
      <c r="A675" s="71"/>
      <c r="B675" s="74"/>
      <c r="C675" s="74"/>
      <c r="D675" s="8" t="s">
        <v>739</v>
      </c>
      <c r="E675" s="8"/>
      <c r="F675" s="44">
        <v>115.3</v>
      </c>
      <c r="G675" s="44">
        <v>106.6</v>
      </c>
      <c r="H675" s="44">
        <v>99.8</v>
      </c>
      <c r="I675" s="85"/>
      <c r="J675" s="100"/>
      <c r="K675" s="100"/>
      <c r="L675" s="100"/>
      <c r="M675" s="140"/>
    </row>
    <row r="676" spans="1:13" x14ac:dyDescent="0.25">
      <c r="A676" s="71"/>
      <c r="B676" s="74"/>
      <c r="C676" s="74"/>
      <c r="D676" s="8" t="s">
        <v>284</v>
      </c>
      <c r="E676" s="8"/>
      <c r="F676" s="44">
        <v>247.1</v>
      </c>
      <c r="G676" s="44">
        <v>214.3</v>
      </c>
      <c r="H676" s="44">
        <v>214.3</v>
      </c>
      <c r="I676" s="85"/>
      <c r="J676" s="100"/>
      <c r="K676" s="100"/>
      <c r="L676" s="100"/>
      <c r="M676" s="140"/>
    </row>
    <row r="677" spans="1:13" ht="15.75" thickBot="1" x14ac:dyDescent="0.3">
      <c r="A677" s="72"/>
      <c r="B677" s="75"/>
      <c r="C677" s="75"/>
      <c r="D677" s="8" t="s">
        <v>136</v>
      </c>
      <c r="E677" s="8"/>
      <c r="F677" s="44">
        <v>86.8</v>
      </c>
      <c r="G677" s="44">
        <v>70.400000000000006</v>
      </c>
      <c r="H677" s="44">
        <v>56.4</v>
      </c>
      <c r="I677" s="86"/>
      <c r="J677" s="101"/>
      <c r="K677" s="101"/>
      <c r="L677" s="101"/>
      <c r="M677" s="124"/>
    </row>
    <row r="678" spans="1:13" ht="30.75" thickBot="1" x14ac:dyDescent="0.3">
      <c r="A678" s="10" t="s">
        <v>1156</v>
      </c>
      <c r="B678" s="11" t="s">
        <v>1157</v>
      </c>
      <c r="C678" s="12" t="s">
        <v>934</v>
      </c>
      <c r="D678" s="11" t="s">
        <v>42</v>
      </c>
      <c r="E678" s="11"/>
      <c r="F678" s="56">
        <v>390</v>
      </c>
      <c r="G678" s="56">
        <v>389.8</v>
      </c>
      <c r="H678" s="56">
        <v>450</v>
      </c>
      <c r="I678" s="11" t="s">
        <v>1158</v>
      </c>
      <c r="J678" s="13" t="s">
        <v>97</v>
      </c>
      <c r="K678" s="30">
        <v>1150</v>
      </c>
      <c r="L678" s="30">
        <v>1150</v>
      </c>
      <c r="M678" s="31">
        <v>1150</v>
      </c>
    </row>
    <row r="679" spans="1:13" ht="48" customHeight="1" x14ac:dyDescent="0.25">
      <c r="A679" s="10" t="s">
        <v>1159</v>
      </c>
      <c r="B679" s="11" t="s">
        <v>1160</v>
      </c>
      <c r="C679" s="12" t="s">
        <v>934</v>
      </c>
      <c r="D679" s="11" t="s">
        <v>42</v>
      </c>
      <c r="E679" s="11"/>
      <c r="F679" s="56">
        <v>187.2</v>
      </c>
      <c r="G679" s="56">
        <v>187.2</v>
      </c>
      <c r="H679" s="56">
        <v>187.2</v>
      </c>
      <c r="I679" s="11" t="s">
        <v>1161</v>
      </c>
      <c r="J679" s="13" t="s">
        <v>97</v>
      </c>
      <c r="K679" s="13">
        <v>360</v>
      </c>
      <c r="L679" s="13">
        <v>360</v>
      </c>
      <c r="M679" s="24">
        <v>360</v>
      </c>
    </row>
    <row r="680" spans="1:13" ht="49.5" customHeight="1" thickBot="1" x14ac:dyDescent="0.3">
      <c r="A680" s="10" t="s">
        <v>1162</v>
      </c>
      <c r="B680" s="11" t="s">
        <v>1163</v>
      </c>
      <c r="C680" s="12" t="s">
        <v>934</v>
      </c>
      <c r="D680" s="11" t="s">
        <v>1115</v>
      </c>
      <c r="E680" s="11"/>
      <c r="F680" s="56">
        <v>1108.5999999999999</v>
      </c>
      <c r="G680" s="56">
        <v>1108.5999999999999</v>
      </c>
      <c r="H680" s="56">
        <v>1108.5999999999999</v>
      </c>
      <c r="I680" s="11" t="s">
        <v>1164</v>
      </c>
      <c r="J680" s="13" t="s">
        <v>22</v>
      </c>
      <c r="K680" s="13">
        <v>5</v>
      </c>
      <c r="L680" s="13">
        <v>5</v>
      </c>
      <c r="M680" s="24">
        <v>5</v>
      </c>
    </row>
    <row r="681" spans="1:13" ht="33.75" customHeight="1" x14ac:dyDescent="0.25">
      <c r="A681" s="70" t="s">
        <v>1165</v>
      </c>
      <c r="B681" s="73" t="s">
        <v>1166</v>
      </c>
      <c r="C681" s="73" t="s">
        <v>934</v>
      </c>
      <c r="D681" s="84" t="s">
        <v>28</v>
      </c>
      <c r="E681" s="84"/>
      <c r="F681" s="103">
        <f>SUM(F682:F682)+358.6</f>
        <v>358.6</v>
      </c>
      <c r="G681" s="103">
        <f>SUM(G682:G682)+358.6</f>
        <v>358.6</v>
      </c>
      <c r="H681" s="103">
        <f>SUM(H682:H682)+358.6</f>
        <v>358.6</v>
      </c>
      <c r="I681" s="11" t="s">
        <v>1167</v>
      </c>
      <c r="J681" s="13" t="s">
        <v>22</v>
      </c>
      <c r="K681" s="13">
        <v>30</v>
      </c>
      <c r="L681" s="13">
        <v>30</v>
      </c>
      <c r="M681" s="24">
        <v>30</v>
      </c>
    </row>
    <row r="682" spans="1:13" ht="15.75" thickBot="1" x14ac:dyDescent="0.3">
      <c r="A682" s="72"/>
      <c r="B682" s="75"/>
      <c r="C682" s="75"/>
      <c r="D682" s="86"/>
      <c r="E682" s="86"/>
      <c r="F682" s="104"/>
      <c r="G682" s="104"/>
      <c r="H682" s="104"/>
      <c r="I682" s="8" t="s">
        <v>1168</v>
      </c>
      <c r="J682" s="9" t="s">
        <v>97</v>
      </c>
      <c r="K682" s="9">
        <v>27</v>
      </c>
      <c r="L682" s="9">
        <v>27</v>
      </c>
      <c r="M682" s="23">
        <v>27</v>
      </c>
    </row>
    <row r="683" spans="1:13" ht="45.75" thickBot="1" x14ac:dyDescent="0.3">
      <c r="A683" s="10" t="s">
        <v>1169</v>
      </c>
      <c r="B683" s="11" t="s">
        <v>1170</v>
      </c>
      <c r="C683" s="12" t="s">
        <v>934</v>
      </c>
      <c r="D683" s="11" t="s">
        <v>42</v>
      </c>
      <c r="E683" s="11"/>
      <c r="F683" s="56">
        <v>140</v>
      </c>
      <c r="G683" s="56">
        <v>140</v>
      </c>
      <c r="H683" s="56">
        <v>140</v>
      </c>
      <c r="I683" s="11" t="s">
        <v>1171</v>
      </c>
      <c r="J683" s="13" t="s">
        <v>22</v>
      </c>
      <c r="K683" s="13">
        <v>30</v>
      </c>
      <c r="L683" s="13">
        <v>30</v>
      </c>
      <c r="M683" s="24">
        <v>30</v>
      </c>
    </row>
    <row r="684" spans="1:13" ht="34.5" customHeight="1" thickBot="1" x14ac:dyDescent="0.3">
      <c r="A684" s="10" t="s">
        <v>1172</v>
      </c>
      <c r="B684" s="11" t="s">
        <v>1173</v>
      </c>
      <c r="C684" s="12" t="s">
        <v>1288</v>
      </c>
      <c r="D684" s="11" t="s">
        <v>30</v>
      </c>
      <c r="E684" s="11"/>
      <c r="F684" s="56">
        <v>36.5</v>
      </c>
      <c r="G684" s="56">
        <v>36.5</v>
      </c>
      <c r="H684" s="56">
        <v>36.5</v>
      </c>
      <c r="I684" s="11" t="s">
        <v>1289</v>
      </c>
      <c r="J684" s="13" t="s">
        <v>27</v>
      </c>
      <c r="K684" s="13">
        <v>33</v>
      </c>
      <c r="L684" s="13">
        <v>66</v>
      </c>
      <c r="M684" s="24">
        <v>100</v>
      </c>
    </row>
    <row r="685" spans="1:13" ht="25.5" customHeight="1" thickBot="1" x14ac:dyDescent="0.3">
      <c r="A685" s="4" t="s">
        <v>1174</v>
      </c>
      <c r="B685" s="5" t="s">
        <v>1175</v>
      </c>
      <c r="C685" s="91" t="s">
        <v>199</v>
      </c>
      <c r="D685" s="92"/>
      <c r="E685" s="93"/>
      <c r="F685" s="53">
        <f>F686+F717</f>
        <v>6219.7000000000007</v>
      </c>
      <c r="G685" s="53">
        <f>G686+G717</f>
        <v>5698.8</v>
      </c>
      <c r="H685" s="53">
        <f>H686+H717</f>
        <v>4739.2</v>
      </c>
      <c r="I685" s="88"/>
      <c r="J685" s="89"/>
      <c r="K685" s="89"/>
      <c r="L685" s="89"/>
      <c r="M685" s="90"/>
    </row>
    <row r="686" spans="1:13" ht="30" x14ac:dyDescent="0.25">
      <c r="A686" s="76" t="s">
        <v>1176</v>
      </c>
      <c r="B686" s="78" t="s">
        <v>1177</v>
      </c>
      <c r="C686" s="79"/>
      <c r="D686" s="79"/>
      <c r="E686" s="80"/>
      <c r="F686" s="121">
        <f>F687+F688+F689+F694+F700+F706+F707+F708+F710+F715</f>
        <v>2450.6000000000004</v>
      </c>
      <c r="G686" s="121">
        <f>G687+G688+G689+G694+G700+G706+G707+G708+G710+G715</f>
        <v>2672.7000000000003</v>
      </c>
      <c r="H686" s="121">
        <f>H687+H688+H689+H694+H700+H706+H707+H708+H710+H715</f>
        <v>2324.6999999999998</v>
      </c>
      <c r="I686" s="64" t="s">
        <v>1178</v>
      </c>
      <c r="J686" s="7" t="s">
        <v>22</v>
      </c>
      <c r="K686" s="7">
        <v>2.2000000000000002</v>
      </c>
      <c r="L686" s="7">
        <v>2.2000000000000002</v>
      </c>
      <c r="M686" s="25">
        <v>2.2000000000000002</v>
      </c>
    </row>
    <row r="687" spans="1:13" ht="30" x14ac:dyDescent="0.25">
      <c r="A687" s="94"/>
      <c r="B687" s="95"/>
      <c r="C687" s="96"/>
      <c r="D687" s="96"/>
      <c r="E687" s="97"/>
      <c r="F687" s="144"/>
      <c r="G687" s="144"/>
      <c r="H687" s="144"/>
      <c r="I687" s="65" t="s">
        <v>1179</v>
      </c>
      <c r="J687" s="34" t="s">
        <v>27</v>
      </c>
      <c r="K687" s="34">
        <v>80.2</v>
      </c>
      <c r="L687" s="34">
        <v>81.400000000000006</v>
      </c>
      <c r="M687" s="35">
        <v>82.6</v>
      </c>
    </row>
    <row r="688" spans="1:13" ht="15.75" thickBot="1" x14ac:dyDescent="0.3">
      <c r="A688" s="77"/>
      <c r="B688" s="81"/>
      <c r="C688" s="82"/>
      <c r="D688" s="82"/>
      <c r="E688" s="83"/>
      <c r="F688" s="122"/>
      <c r="G688" s="122"/>
      <c r="H688" s="122"/>
      <c r="I688" s="65" t="s">
        <v>1180</v>
      </c>
      <c r="J688" s="34" t="s">
        <v>97</v>
      </c>
      <c r="K688" s="34">
        <v>14.5</v>
      </c>
      <c r="L688" s="34">
        <v>14</v>
      </c>
      <c r="M688" s="35">
        <v>13.5</v>
      </c>
    </row>
    <row r="689" spans="1:13" x14ac:dyDescent="0.25">
      <c r="A689" s="70" t="s">
        <v>1181</v>
      </c>
      <c r="B689" s="73" t="s">
        <v>1182</v>
      </c>
      <c r="C689" s="73" t="s">
        <v>1183</v>
      </c>
      <c r="D689" s="11"/>
      <c r="E689" s="11"/>
      <c r="F689" s="52">
        <f>SUM(F690:F693)</f>
        <v>186.79999999999998</v>
      </c>
      <c r="G689" s="52">
        <f>SUM(G690:G693)</f>
        <v>193.7</v>
      </c>
      <c r="H689" s="52">
        <f>SUM(H690:H693)</f>
        <v>197.6</v>
      </c>
      <c r="I689" s="84" t="s">
        <v>1184</v>
      </c>
      <c r="J689" s="102" t="s">
        <v>97</v>
      </c>
      <c r="K689" s="102">
        <v>150</v>
      </c>
      <c r="L689" s="102">
        <v>150</v>
      </c>
      <c r="M689" s="139">
        <v>150</v>
      </c>
    </row>
    <row r="690" spans="1:13" x14ac:dyDescent="0.25">
      <c r="A690" s="71"/>
      <c r="B690" s="74"/>
      <c r="C690" s="74"/>
      <c r="D690" s="8" t="s">
        <v>108</v>
      </c>
      <c r="E690" s="8"/>
      <c r="F690" s="44">
        <v>1</v>
      </c>
      <c r="G690" s="44">
        <v>4</v>
      </c>
      <c r="H690" s="44">
        <v>4</v>
      </c>
      <c r="I690" s="85"/>
      <c r="J690" s="100"/>
      <c r="K690" s="100"/>
      <c r="L690" s="100"/>
      <c r="M690" s="140"/>
    </row>
    <row r="691" spans="1:13" x14ac:dyDescent="0.25">
      <c r="A691" s="71"/>
      <c r="B691" s="74"/>
      <c r="C691" s="74"/>
      <c r="D691" s="8" t="s">
        <v>42</v>
      </c>
      <c r="E691" s="8"/>
      <c r="F691" s="44">
        <v>156.69999999999999</v>
      </c>
      <c r="G691" s="44">
        <v>160.6</v>
      </c>
      <c r="H691" s="44">
        <v>164.5</v>
      </c>
      <c r="I691" s="85"/>
      <c r="J691" s="100"/>
      <c r="K691" s="100"/>
      <c r="L691" s="100"/>
      <c r="M691" s="140"/>
    </row>
    <row r="692" spans="1:13" x14ac:dyDescent="0.25">
      <c r="A692" s="71"/>
      <c r="B692" s="74"/>
      <c r="C692" s="74"/>
      <c r="D692" s="8" t="s">
        <v>739</v>
      </c>
      <c r="E692" s="8"/>
      <c r="F692" s="44">
        <v>26.6</v>
      </c>
      <c r="G692" s="44">
        <v>26.6</v>
      </c>
      <c r="H692" s="44">
        <v>26.6</v>
      </c>
      <c r="I692" s="85"/>
      <c r="J692" s="100"/>
      <c r="K692" s="100"/>
      <c r="L692" s="100"/>
      <c r="M692" s="140"/>
    </row>
    <row r="693" spans="1:13" ht="15.75" thickBot="1" x14ac:dyDescent="0.3">
      <c r="A693" s="72"/>
      <c r="B693" s="75"/>
      <c r="C693" s="75"/>
      <c r="D693" s="8" t="s">
        <v>136</v>
      </c>
      <c r="E693" s="8"/>
      <c r="F693" s="44">
        <v>2.5</v>
      </c>
      <c r="G693" s="44">
        <v>2.5</v>
      </c>
      <c r="H693" s="44">
        <v>2.5</v>
      </c>
      <c r="I693" s="86"/>
      <c r="J693" s="101"/>
      <c r="K693" s="101"/>
      <c r="L693" s="101"/>
      <c r="M693" s="124"/>
    </row>
    <row r="694" spans="1:13" ht="33" customHeight="1" x14ac:dyDescent="0.25">
      <c r="A694" s="70" t="s">
        <v>1185</v>
      </c>
      <c r="B694" s="73" t="s">
        <v>1186</v>
      </c>
      <c r="C694" s="73" t="s">
        <v>1187</v>
      </c>
      <c r="D694" s="11"/>
      <c r="E694" s="11"/>
      <c r="F694" s="52">
        <f>SUM(F695:F699)</f>
        <v>1572.1000000000001</v>
      </c>
      <c r="G694" s="52">
        <f>SUM(G695:G699)</f>
        <v>1784.3000000000002</v>
      </c>
      <c r="H694" s="52">
        <f>SUM(H695:H699)</f>
        <v>1429.4</v>
      </c>
      <c r="I694" s="11" t="s">
        <v>1188</v>
      </c>
      <c r="J694" s="13" t="s">
        <v>22</v>
      </c>
      <c r="K694" s="13">
        <v>60</v>
      </c>
      <c r="L694" s="13">
        <v>60</v>
      </c>
      <c r="M694" s="24">
        <v>60</v>
      </c>
    </row>
    <row r="695" spans="1:13" ht="30" x14ac:dyDescent="0.25">
      <c r="A695" s="71"/>
      <c r="B695" s="74"/>
      <c r="C695" s="74"/>
      <c r="D695" s="8" t="s">
        <v>42</v>
      </c>
      <c r="E695" s="8"/>
      <c r="F695" s="44">
        <v>547.70000000000005</v>
      </c>
      <c r="G695" s="44">
        <v>759.9</v>
      </c>
      <c r="H695" s="44">
        <v>405</v>
      </c>
      <c r="I695" s="8" t="s">
        <v>1189</v>
      </c>
      <c r="J695" s="9" t="s">
        <v>97</v>
      </c>
      <c r="K695" s="26">
        <v>30000</v>
      </c>
      <c r="L695" s="26">
        <v>50000</v>
      </c>
      <c r="M695" s="27">
        <v>45000</v>
      </c>
    </row>
    <row r="696" spans="1:13" ht="30" x14ac:dyDescent="0.25">
      <c r="A696" s="71"/>
      <c r="B696" s="74"/>
      <c r="C696" s="74"/>
      <c r="D696" s="98" t="s">
        <v>155</v>
      </c>
      <c r="E696" s="98"/>
      <c r="F696" s="118">
        <v>1024.4000000000001</v>
      </c>
      <c r="G696" s="118">
        <v>1024.4000000000001</v>
      </c>
      <c r="H696" s="118">
        <v>1024.4000000000001</v>
      </c>
      <c r="I696" s="8" t="s">
        <v>1190</v>
      </c>
      <c r="J696" s="9" t="s">
        <v>22</v>
      </c>
      <c r="K696" s="9">
        <v>1</v>
      </c>
      <c r="L696" s="9">
        <v>1</v>
      </c>
      <c r="M696" s="23">
        <v>1</v>
      </c>
    </row>
    <row r="697" spans="1:13" ht="30" x14ac:dyDescent="0.25">
      <c r="A697" s="71"/>
      <c r="B697" s="74"/>
      <c r="C697" s="74"/>
      <c r="D697" s="85"/>
      <c r="E697" s="85"/>
      <c r="F697" s="119"/>
      <c r="G697" s="119"/>
      <c r="H697" s="119"/>
      <c r="I697" s="8" t="s">
        <v>1191</v>
      </c>
      <c r="J697" s="9" t="s">
        <v>97</v>
      </c>
      <c r="K697" s="26">
        <v>17000</v>
      </c>
      <c r="L697" s="26">
        <v>17000</v>
      </c>
      <c r="M697" s="27">
        <v>15000</v>
      </c>
    </row>
    <row r="698" spans="1:13" x14ac:dyDescent="0.25">
      <c r="A698" s="71"/>
      <c r="B698" s="74"/>
      <c r="C698" s="74"/>
      <c r="D698" s="85"/>
      <c r="E698" s="85"/>
      <c r="F698" s="119"/>
      <c r="G698" s="119"/>
      <c r="H698" s="119"/>
      <c r="I698" s="8" t="s">
        <v>1192</v>
      </c>
      <c r="J698" s="9" t="s">
        <v>97</v>
      </c>
      <c r="K698" s="9">
        <v>400</v>
      </c>
      <c r="L698" s="9">
        <v>400</v>
      </c>
      <c r="M698" s="23">
        <v>400</v>
      </c>
    </row>
    <row r="699" spans="1:13" ht="33" customHeight="1" thickBot="1" x14ac:dyDescent="0.3">
      <c r="A699" s="72"/>
      <c r="B699" s="75"/>
      <c r="C699" s="75"/>
      <c r="D699" s="86"/>
      <c r="E699" s="86"/>
      <c r="F699" s="120"/>
      <c r="G699" s="120"/>
      <c r="H699" s="120"/>
      <c r="I699" s="8" t="s">
        <v>1193</v>
      </c>
      <c r="J699" s="9" t="s">
        <v>97</v>
      </c>
      <c r="K699" s="9">
        <v>65</v>
      </c>
      <c r="L699" s="9">
        <v>65</v>
      </c>
      <c r="M699" s="23">
        <v>65</v>
      </c>
    </row>
    <row r="700" spans="1:13" ht="30" x14ac:dyDescent="0.25">
      <c r="A700" s="70" t="s">
        <v>1194</v>
      </c>
      <c r="B700" s="73" t="s">
        <v>1195</v>
      </c>
      <c r="C700" s="73" t="s">
        <v>1196</v>
      </c>
      <c r="D700" s="84" t="s">
        <v>155</v>
      </c>
      <c r="E700" s="84"/>
      <c r="F700" s="103">
        <f>SUM(F701:F705)+153.7</f>
        <v>153.69999999999999</v>
      </c>
      <c r="G700" s="103">
        <f>SUM(G701:G705)+153.7</f>
        <v>153.69999999999999</v>
      </c>
      <c r="H700" s="103">
        <f>SUM(H701:H705)+153.7</f>
        <v>153.69999999999999</v>
      </c>
      <c r="I700" s="11" t="s">
        <v>1197</v>
      </c>
      <c r="J700" s="13" t="s">
        <v>97</v>
      </c>
      <c r="K700" s="30">
        <v>18190</v>
      </c>
      <c r="L700" s="30">
        <v>18990</v>
      </c>
      <c r="M700" s="31">
        <v>19892</v>
      </c>
    </row>
    <row r="701" spans="1:13" x14ac:dyDescent="0.25">
      <c r="A701" s="71"/>
      <c r="B701" s="74"/>
      <c r="C701" s="74"/>
      <c r="D701" s="85"/>
      <c r="E701" s="85"/>
      <c r="F701" s="108"/>
      <c r="G701" s="108"/>
      <c r="H701" s="108"/>
      <c r="I701" s="8" t="s">
        <v>1198</v>
      </c>
      <c r="J701" s="9" t="s">
        <v>97</v>
      </c>
      <c r="K701" s="26">
        <v>2820</v>
      </c>
      <c r="L701" s="26">
        <v>2820</v>
      </c>
      <c r="M701" s="27">
        <v>2820</v>
      </c>
    </row>
    <row r="702" spans="1:13" x14ac:dyDescent="0.25">
      <c r="A702" s="71"/>
      <c r="B702" s="74"/>
      <c r="C702" s="74"/>
      <c r="D702" s="85"/>
      <c r="E702" s="85"/>
      <c r="F702" s="108"/>
      <c r="G702" s="108"/>
      <c r="H702" s="108"/>
      <c r="I702" s="8" t="s">
        <v>1199</v>
      </c>
      <c r="J702" s="9" t="s">
        <v>97</v>
      </c>
      <c r="K702" s="26">
        <v>8500</v>
      </c>
      <c r="L702" s="26">
        <v>9200</v>
      </c>
      <c r="M702" s="27">
        <v>10000</v>
      </c>
    </row>
    <row r="703" spans="1:13" x14ac:dyDescent="0.25">
      <c r="A703" s="71"/>
      <c r="B703" s="74"/>
      <c r="C703" s="74"/>
      <c r="D703" s="85"/>
      <c r="E703" s="85"/>
      <c r="F703" s="108"/>
      <c r="G703" s="108"/>
      <c r="H703" s="108"/>
      <c r="I703" s="8" t="s">
        <v>1200</v>
      </c>
      <c r="J703" s="9" t="s">
        <v>97</v>
      </c>
      <c r="K703" s="26">
        <v>6700</v>
      </c>
      <c r="L703" s="26">
        <v>6800</v>
      </c>
      <c r="M703" s="27">
        <v>6900</v>
      </c>
    </row>
    <row r="704" spans="1:13" ht="20.25" customHeight="1" x14ac:dyDescent="0.25">
      <c r="A704" s="71"/>
      <c r="B704" s="74"/>
      <c r="C704" s="74"/>
      <c r="D704" s="85"/>
      <c r="E704" s="85"/>
      <c r="F704" s="108"/>
      <c r="G704" s="108"/>
      <c r="H704" s="108"/>
      <c r="I704" s="8" t="s">
        <v>1201</v>
      </c>
      <c r="J704" s="9" t="s">
        <v>97</v>
      </c>
      <c r="K704" s="9">
        <v>160</v>
      </c>
      <c r="L704" s="9">
        <v>160</v>
      </c>
      <c r="M704" s="23">
        <v>160</v>
      </c>
    </row>
    <row r="705" spans="1:13" ht="15.75" thickBot="1" x14ac:dyDescent="0.3">
      <c r="A705" s="72"/>
      <c r="B705" s="75"/>
      <c r="C705" s="75"/>
      <c r="D705" s="86"/>
      <c r="E705" s="86"/>
      <c r="F705" s="104"/>
      <c r="G705" s="104"/>
      <c r="H705" s="104"/>
      <c r="I705" s="8" t="s">
        <v>1202</v>
      </c>
      <c r="J705" s="9" t="s">
        <v>22</v>
      </c>
      <c r="K705" s="9">
        <v>10</v>
      </c>
      <c r="L705" s="9">
        <v>10</v>
      </c>
      <c r="M705" s="23">
        <v>10</v>
      </c>
    </row>
    <row r="706" spans="1:13" ht="45.75" thickBot="1" x14ac:dyDescent="0.3">
      <c r="A706" s="10" t="s">
        <v>1203</v>
      </c>
      <c r="B706" s="11" t="s">
        <v>1204</v>
      </c>
      <c r="C706" s="12" t="s">
        <v>199</v>
      </c>
      <c r="D706" s="11" t="s">
        <v>42</v>
      </c>
      <c r="E706" s="11"/>
      <c r="F706" s="56">
        <v>2</v>
      </c>
      <c r="G706" s="56">
        <v>2</v>
      </c>
      <c r="H706" s="56">
        <v>2</v>
      </c>
      <c r="I706" s="11" t="s">
        <v>1205</v>
      </c>
      <c r="J706" s="13" t="s">
        <v>97</v>
      </c>
      <c r="K706" s="13">
        <v>15</v>
      </c>
      <c r="L706" s="13">
        <v>15</v>
      </c>
      <c r="M706" s="24">
        <v>15</v>
      </c>
    </row>
    <row r="707" spans="1:13" ht="60.75" thickBot="1" x14ac:dyDescent="0.3">
      <c r="A707" s="10" t="s">
        <v>1206</v>
      </c>
      <c r="B707" s="11" t="s">
        <v>1207</v>
      </c>
      <c r="C707" s="12" t="s">
        <v>1208</v>
      </c>
      <c r="D707" s="11" t="s">
        <v>42</v>
      </c>
      <c r="E707" s="11"/>
      <c r="F707" s="56">
        <v>15</v>
      </c>
      <c r="G707" s="56">
        <v>15</v>
      </c>
      <c r="H707" s="56">
        <v>15</v>
      </c>
      <c r="I707" s="11" t="s">
        <v>1209</v>
      </c>
      <c r="J707" s="13" t="s">
        <v>22</v>
      </c>
      <c r="K707" s="13">
        <v>800</v>
      </c>
      <c r="L707" s="13">
        <v>800</v>
      </c>
      <c r="M707" s="24">
        <v>800</v>
      </c>
    </row>
    <row r="708" spans="1:13" ht="30" x14ac:dyDescent="0.25">
      <c r="A708" s="70" t="s">
        <v>1210</v>
      </c>
      <c r="B708" s="73" t="s">
        <v>1211</v>
      </c>
      <c r="C708" s="73" t="s">
        <v>199</v>
      </c>
      <c r="D708" s="84" t="s">
        <v>42</v>
      </c>
      <c r="E708" s="84"/>
      <c r="F708" s="103">
        <f>SUM(F709:F709)+316</f>
        <v>316</v>
      </c>
      <c r="G708" s="103">
        <f>SUM(G709:G709)+316</f>
        <v>316</v>
      </c>
      <c r="H708" s="103">
        <f>SUM(H709:H709)+316</f>
        <v>316</v>
      </c>
      <c r="I708" s="11" t="s">
        <v>1212</v>
      </c>
      <c r="J708" s="13" t="s">
        <v>97</v>
      </c>
      <c r="K708" s="13">
        <v>14</v>
      </c>
      <c r="L708" s="13">
        <v>14</v>
      </c>
      <c r="M708" s="24">
        <v>14</v>
      </c>
    </row>
    <row r="709" spans="1:13" ht="15.75" thickBot="1" x14ac:dyDescent="0.3">
      <c r="A709" s="72"/>
      <c r="B709" s="75"/>
      <c r="C709" s="75"/>
      <c r="D709" s="86"/>
      <c r="E709" s="86"/>
      <c r="F709" s="104"/>
      <c r="G709" s="104"/>
      <c r="H709" s="104"/>
      <c r="I709" s="8" t="s">
        <v>1213</v>
      </c>
      <c r="J709" s="9" t="s">
        <v>97</v>
      </c>
      <c r="K709" s="9">
        <v>8</v>
      </c>
      <c r="L709" s="9">
        <v>8</v>
      </c>
      <c r="M709" s="23">
        <v>8</v>
      </c>
    </row>
    <row r="710" spans="1:13" x14ac:dyDescent="0.25">
      <c r="A710" s="70" t="s">
        <v>1214</v>
      </c>
      <c r="B710" s="73" t="s">
        <v>1215</v>
      </c>
      <c r="C710" s="73" t="s">
        <v>199</v>
      </c>
      <c r="D710" s="11"/>
      <c r="E710" s="11"/>
      <c r="F710" s="52">
        <f>SUM(F711:F714)</f>
        <v>190</v>
      </c>
      <c r="G710" s="52">
        <f>SUM(G711:G714)</f>
        <v>190</v>
      </c>
      <c r="H710" s="52">
        <f>SUM(H711:H714)</f>
        <v>190</v>
      </c>
      <c r="I710" s="11" t="s">
        <v>1216</v>
      </c>
      <c r="J710" s="13" t="s">
        <v>97</v>
      </c>
      <c r="K710" s="30">
        <v>7000</v>
      </c>
      <c r="L710" s="30">
        <v>7100</v>
      </c>
      <c r="M710" s="31">
        <v>7200</v>
      </c>
    </row>
    <row r="711" spans="1:13" ht="30" x14ac:dyDescent="0.25">
      <c r="A711" s="71"/>
      <c r="B711" s="74"/>
      <c r="C711" s="74"/>
      <c r="D711" s="8" t="s">
        <v>371</v>
      </c>
      <c r="E711" s="8"/>
      <c r="F711" s="44">
        <v>120</v>
      </c>
      <c r="G711" s="44">
        <v>120</v>
      </c>
      <c r="H711" s="44">
        <v>120</v>
      </c>
      <c r="I711" s="8" t="s">
        <v>1217</v>
      </c>
      <c r="J711" s="9" t="s">
        <v>97</v>
      </c>
      <c r="K711" s="9">
        <v>5</v>
      </c>
      <c r="L711" s="9">
        <v>5</v>
      </c>
      <c r="M711" s="23">
        <v>5</v>
      </c>
    </row>
    <row r="712" spans="1:13" ht="17.25" customHeight="1" x14ac:dyDescent="0.25">
      <c r="A712" s="71"/>
      <c r="B712" s="74"/>
      <c r="C712" s="74"/>
      <c r="D712" s="98" t="s">
        <v>42</v>
      </c>
      <c r="E712" s="98"/>
      <c r="F712" s="118">
        <v>70</v>
      </c>
      <c r="G712" s="118">
        <v>70</v>
      </c>
      <c r="H712" s="118">
        <v>70</v>
      </c>
      <c r="I712" s="8" t="s">
        <v>1218</v>
      </c>
      <c r="J712" s="9" t="s">
        <v>22</v>
      </c>
      <c r="K712" s="9">
        <v>2</v>
      </c>
      <c r="L712" s="9">
        <v>2</v>
      </c>
      <c r="M712" s="23">
        <v>2</v>
      </c>
    </row>
    <row r="713" spans="1:13" ht="30" x14ac:dyDescent="0.25">
      <c r="A713" s="71"/>
      <c r="B713" s="74"/>
      <c r="C713" s="74"/>
      <c r="D713" s="85"/>
      <c r="E713" s="85"/>
      <c r="F713" s="119"/>
      <c r="G713" s="119"/>
      <c r="H713" s="119"/>
      <c r="I713" s="8" t="s">
        <v>1219</v>
      </c>
      <c r="J713" s="9" t="s">
        <v>22</v>
      </c>
      <c r="K713" s="26">
        <v>3008</v>
      </c>
      <c r="L713" s="26">
        <v>3008</v>
      </c>
      <c r="M713" s="27">
        <v>3008</v>
      </c>
    </row>
    <row r="714" spans="1:13" ht="15.75" thickBot="1" x14ac:dyDescent="0.3">
      <c r="A714" s="72"/>
      <c r="B714" s="75"/>
      <c r="C714" s="75"/>
      <c r="D714" s="86"/>
      <c r="E714" s="86"/>
      <c r="F714" s="120"/>
      <c r="G714" s="120"/>
      <c r="H714" s="120"/>
      <c r="I714" s="8" t="s">
        <v>1220</v>
      </c>
      <c r="J714" s="9" t="s">
        <v>116</v>
      </c>
      <c r="K714" s="9">
        <v>2</v>
      </c>
      <c r="L714" s="9">
        <v>2</v>
      </c>
      <c r="M714" s="23">
        <v>2</v>
      </c>
    </row>
    <row r="715" spans="1:13" ht="91.5" customHeight="1" x14ac:dyDescent="0.25">
      <c r="A715" s="70" t="s">
        <v>1221</v>
      </c>
      <c r="B715" s="73" t="s">
        <v>1222</v>
      </c>
      <c r="C715" s="73" t="s">
        <v>1223</v>
      </c>
      <c r="D715" s="84" t="s">
        <v>42</v>
      </c>
      <c r="E715" s="84"/>
      <c r="F715" s="103">
        <f>SUM(F716:F716)+15</f>
        <v>15</v>
      </c>
      <c r="G715" s="103">
        <f>SUM(G716:G716)+18</f>
        <v>18</v>
      </c>
      <c r="H715" s="103">
        <f>SUM(H716:H716)+21</f>
        <v>21</v>
      </c>
      <c r="I715" s="11" t="s">
        <v>1224</v>
      </c>
      <c r="J715" s="13" t="s">
        <v>22</v>
      </c>
      <c r="K715" s="13">
        <v>5</v>
      </c>
      <c r="L715" s="13">
        <v>7</v>
      </c>
      <c r="M715" s="24">
        <v>9</v>
      </c>
    </row>
    <row r="716" spans="1:13" ht="30.75" thickBot="1" x14ac:dyDescent="0.3">
      <c r="A716" s="72"/>
      <c r="B716" s="75"/>
      <c r="C716" s="75"/>
      <c r="D716" s="86"/>
      <c r="E716" s="86"/>
      <c r="F716" s="104"/>
      <c r="G716" s="104"/>
      <c r="H716" s="104"/>
      <c r="I716" s="8" t="s">
        <v>1225</v>
      </c>
      <c r="J716" s="9" t="s">
        <v>22</v>
      </c>
      <c r="K716" s="9">
        <v>15</v>
      </c>
      <c r="L716" s="9">
        <v>17</v>
      </c>
      <c r="M716" s="23">
        <v>19</v>
      </c>
    </row>
    <row r="717" spans="1:13" ht="30" x14ac:dyDescent="0.25">
      <c r="A717" s="76" t="s">
        <v>1226</v>
      </c>
      <c r="B717" s="78" t="s">
        <v>1227</v>
      </c>
      <c r="C717" s="79"/>
      <c r="D717" s="79"/>
      <c r="E717" s="80"/>
      <c r="F717" s="121">
        <f>F718+F719+F722+F725+F729+F732+F736+F737</f>
        <v>3769.1</v>
      </c>
      <c r="G717" s="121">
        <f>G718+G719+G722+G725+G729+G732+G736+G737</f>
        <v>3026.1</v>
      </c>
      <c r="H717" s="121">
        <f>H718+H719+H722+H725+H729+H732+H736+H737</f>
        <v>2414.5</v>
      </c>
      <c r="I717" s="64" t="s">
        <v>1228</v>
      </c>
      <c r="J717" s="7" t="s">
        <v>22</v>
      </c>
      <c r="K717" s="7">
        <v>4</v>
      </c>
      <c r="L717" s="7">
        <v>4</v>
      </c>
      <c r="M717" s="25">
        <v>6</v>
      </c>
    </row>
    <row r="718" spans="1:13" ht="15.75" thickBot="1" x14ac:dyDescent="0.3">
      <c r="A718" s="77"/>
      <c r="B718" s="81"/>
      <c r="C718" s="82"/>
      <c r="D718" s="82"/>
      <c r="E718" s="83"/>
      <c r="F718" s="122"/>
      <c r="G718" s="122"/>
      <c r="H718" s="122"/>
      <c r="I718" s="65" t="s">
        <v>1229</v>
      </c>
      <c r="J718" s="34" t="s">
        <v>22</v>
      </c>
      <c r="K718" s="34">
        <v>9</v>
      </c>
      <c r="L718" s="34">
        <v>9</v>
      </c>
      <c r="M718" s="35">
        <v>9</v>
      </c>
    </row>
    <row r="719" spans="1:13" ht="61.5" customHeight="1" x14ac:dyDescent="0.25">
      <c r="A719" s="70" t="s">
        <v>1230</v>
      </c>
      <c r="B719" s="73" t="s">
        <v>1231</v>
      </c>
      <c r="C719" s="73" t="s">
        <v>1232</v>
      </c>
      <c r="D719" s="84" t="s">
        <v>42</v>
      </c>
      <c r="E719" s="84" t="s">
        <v>519</v>
      </c>
      <c r="F719" s="103">
        <f>SUM(F720:F721)+380</f>
        <v>380</v>
      </c>
      <c r="G719" s="103">
        <f>SUM(G720:G721)+380</f>
        <v>380</v>
      </c>
      <c r="H719" s="103">
        <f>SUM(H720:H721)+370</f>
        <v>370</v>
      </c>
      <c r="I719" s="11" t="s">
        <v>1233</v>
      </c>
      <c r="J719" s="13" t="s">
        <v>27</v>
      </c>
      <c r="K719" s="13">
        <v>100</v>
      </c>
      <c r="L719" s="13"/>
      <c r="M719" s="24"/>
    </row>
    <row r="720" spans="1:13" x14ac:dyDescent="0.25">
      <c r="A720" s="71"/>
      <c r="B720" s="74"/>
      <c r="C720" s="74"/>
      <c r="D720" s="85"/>
      <c r="E720" s="85"/>
      <c r="F720" s="108"/>
      <c r="G720" s="108"/>
      <c r="H720" s="108"/>
      <c r="I720" s="8" t="s">
        <v>1234</v>
      </c>
      <c r="J720" s="9" t="s">
        <v>27</v>
      </c>
      <c r="K720" s="9"/>
      <c r="L720" s="9">
        <v>100</v>
      </c>
      <c r="M720" s="23"/>
    </row>
    <row r="721" spans="1:13" ht="15.75" thickBot="1" x14ac:dyDescent="0.3">
      <c r="A721" s="72"/>
      <c r="B721" s="75"/>
      <c r="C721" s="75"/>
      <c r="D721" s="86"/>
      <c r="E721" s="86"/>
      <c r="F721" s="104"/>
      <c r="G721" s="104"/>
      <c r="H721" s="104"/>
      <c r="I721" s="8" t="s">
        <v>1235</v>
      </c>
      <c r="J721" s="9" t="s">
        <v>27</v>
      </c>
      <c r="K721" s="9"/>
      <c r="L721" s="9"/>
      <c r="M721" s="23">
        <v>100</v>
      </c>
    </row>
    <row r="722" spans="1:13" ht="30" x14ac:dyDescent="0.25">
      <c r="A722" s="70" t="s">
        <v>1236</v>
      </c>
      <c r="B722" s="73" t="s">
        <v>1237</v>
      </c>
      <c r="C722" s="73" t="s">
        <v>1208</v>
      </c>
      <c r="D722" s="84" t="s">
        <v>42</v>
      </c>
      <c r="E722" s="84" t="s">
        <v>519</v>
      </c>
      <c r="F722" s="103">
        <f>SUM(F723:F724)+300</f>
        <v>300</v>
      </c>
      <c r="G722" s="103">
        <f>SUM(G723:G724)+445</f>
        <v>445</v>
      </c>
      <c r="H722" s="103">
        <f>SUM(H723:H724)+500</f>
        <v>500</v>
      </c>
      <c r="I722" s="11" t="s">
        <v>1238</v>
      </c>
      <c r="J722" s="13" t="s">
        <v>27</v>
      </c>
      <c r="K722" s="13">
        <v>100</v>
      </c>
      <c r="L722" s="13"/>
      <c r="M722" s="24"/>
    </row>
    <row r="723" spans="1:13" ht="30" x14ac:dyDescent="0.25">
      <c r="A723" s="71"/>
      <c r="B723" s="74"/>
      <c r="C723" s="74"/>
      <c r="D723" s="85"/>
      <c r="E723" s="85"/>
      <c r="F723" s="108"/>
      <c r="G723" s="108"/>
      <c r="H723" s="108"/>
      <c r="I723" s="8" t="s">
        <v>1239</v>
      </c>
      <c r="J723" s="9" t="s">
        <v>116</v>
      </c>
      <c r="K723" s="9"/>
      <c r="L723" s="9">
        <v>1</v>
      </c>
      <c r="M723" s="23"/>
    </row>
    <row r="724" spans="1:13" ht="30.75" thickBot="1" x14ac:dyDescent="0.3">
      <c r="A724" s="72"/>
      <c r="B724" s="75"/>
      <c r="C724" s="75"/>
      <c r="D724" s="86"/>
      <c r="E724" s="86"/>
      <c r="F724" s="104"/>
      <c r="G724" s="104"/>
      <c r="H724" s="104"/>
      <c r="I724" s="8" t="s">
        <v>1240</v>
      </c>
      <c r="J724" s="9" t="s">
        <v>27</v>
      </c>
      <c r="K724" s="9"/>
      <c r="L724" s="9">
        <v>40</v>
      </c>
      <c r="M724" s="23">
        <v>100</v>
      </c>
    </row>
    <row r="725" spans="1:13" x14ac:dyDescent="0.25">
      <c r="A725" s="70" t="s">
        <v>1241</v>
      </c>
      <c r="B725" s="73" t="s">
        <v>1242</v>
      </c>
      <c r="C725" s="73" t="s">
        <v>1243</v>
      </c>
      <c r="D725" s="84" t="s">
        <v>42</v>
      </c>
      <c r="E725" s="84" t="s">
        <v>519</v>
      </c>
      <c r="F725" s="103">
        <f>SUM(F726:F728)+8</f>
        <v>8</v>
      </c>
      <c r="G725" s="103">
        <f>SUM(G726:G728)</f>
        <v>0</v>
      </c>
      <c r="H725" s="103">
        <f>SUM(H726:H728)</f>
        <v>0</v>
      </c>
      <c r="I725" s="11" t="s">
        <v>1244</v>
      </c>
      <c r="J725" s="13" t="s">
        <v>27</v>
      </c>
      <c r="K725" s="13">
        <v>100</v>
      </c>
      <c r="L725" s="13"/>
      <c r="M725" s="24"/>
    </row>
    <row r="726" spans="1:13" x14ac:dyDescent="0.25">
      <c r="A726" s="71"/>
      <c r="B726" s="74"/>
      <c r="C726" s="74"/>
      <c r="D726" s="85"/>
      <c r="E726" s="85"/>
      <c r="F726" s="108"/>
      <c r="G726" s="108"/>
      <c r="H726" s="108"/>
      <c r="I726" s="8" t="s">
        <v>1245</v>
      </c>
      <c r="J726" s="9" t="s">
        <v>379</v>
      </c>
      <c r="K726" s="26">
        <v>1900</v>
      </c>
      <c r="L726" s="9"/>
      <c r="M726" s="23"/>
    </row>
    <row r="727" spans="1:13" x14ac:dyDescent="0.25">
      <c r="A727" s="71"/>
      <c r="B727" s="74"/>
      <c r="C727" s="74"/>
      <c r="D727" s="85"/>
      <c r="E727" s="85"/>
      <c r="F727" s="108"/>
      <c r="G727" s="108"/>
      <c r="H727" s="108"/>
      <c r="I727" s="8" t="s">
        <v>1246</v>
      </c>
      <c r="J727" s="9" t="s">
        <v>363</v>
      </c>
      <c r="K727" s="9">
        <v>80</v>
      </c>
      <c r="L727" s="9"/>
      <c r="M727" s="23"/>
    </row>
    <row r="728" spans="1:13" ht="15.75" thickBot="1" x14ac:dyDescent="0.3">
      <c r="A728" s="72"/>
      <c r="B728" s="75"/>
      <c r="C728" s="75"/>
      <c r="D728" s="86"/>
      <c r="E728" s="86"/>
      <c r="F728" s="104"/>
      <c r="G728" s="104"/>
      <c r="H728" s="104"/>
      <c r="I728" s="8" t="s">
        <v>1247</v>
      </c>
      <c r="J728" s="9" t="s">
        <v>116</v>
      </c>
      <c r="K728" s="9">
        <v>1</v>
      </c>
      <c r="L728" s="9"/>
      <c r="M728" s="23"/>
    </row>
    <row r="729" spans="1:13" ht="45" customHeight="1" x14ac:dyDescent="0.25">
      <c r="A729" s="70" t="s">
        <v>1248</v>
      </c>
      <c r="B729" s="73" t="s">
        <v>1249</v>
      </c>
      <c r="C729" s="73" t="s">
        <v>1250</v>
      </c>
      <c r="D729" s="84" t="s">
        <v>30</v>
      </c>
      <c r="E729" s="84" t="s">
        <v>519</v>
      </c>
      <c r="F729" s="103">
        <f>SUM(F730:F731)+1618.6</f>
        <v>1618.6</v>
      </c>
      <c r="G729" s="103">
        <f>SUM(G730:G731)+1618.9</f>
        <v>1618.9</v>
      </c>
      <c r="H729" s="103">
        <f>SUM(H730:H731)+962.2</f>
        <v>962.2</v>
      </c>
      <c r="I729" s="11" t="s">
        <v>1251</v>
      </c>
      <c r="J729" s="13" t="s">
        <v>27</v>
      </c>
      <c r="K729" s="13">
        <v>38.5</v>
      </c>
      <c r="L729" s="13">
        <v>38.5</v>
      </c>
      <c r="M729" s="24">
        <v>100</v>
      </c>
    </row>
    <row r="730" spans="1:13" x14ac:dyDescent="0.25">
      <c r="A730" s="71"/>
      <c r="B730" s="74"/>
      <c r="C730" s="74"/>
      <c r="D730" s="85"/>
      <c r="E730" s="85"/>
      <c r="F730" s="108"/>
      <c r="G730" s="108"/>
      <c r="H730" s="108"/>
      <c r="I730" s="8" t="s">
        <v>588</v>
      </c>
      <c r="J730" s="9" t="s">
        <v>27</v>
      </c>
      <c r="K730" s="9">
        <v>38.5</v>
      </c>
      <c r="L730" s="9">
        <v>38.5</v>
      </c>
      <c r="M730" s="23">
        <v>100</v>
      </c>
    </row>
    <row r="731" spans="1:13" ht="15.75" thickBot="1" x14ac:dyDescent="0.3">
      <c r="A731" s="72"/>
      <c r="B731" s="75"/>
      <c r="C731" s="75"/>
      <c r="D731" s="86"/>
      <c r="E731" s="86"/>
      <c r="F731" s="104"/>
      <c r="G731" s="104"/>
      <c r="H731" s="104"/>
      <c r="I731" s="8" t="s">
        <v>1252</v>
      </c>
      <c r="J731" s="9" t="s">
        <v>22</v>
      </c>
      <c r="K731" s="9">
        <v>2</v>
      </c>
      <c r="L731" s="9">
        <v>2</v>
      </c>
      <c r="M731" s="23">
        <v>2</v>
      </c>
    </row>
    <row r="732" spans="1:13" x14ac:dyDescent="0.25">
      <c r="A732" s="70" t="s">
        <v>1253</v>
      </c>
      <c r="B732" s="73" t="s">
        <v>1254</v>
      </c>
      <c r="C732" s="73" t="s">
        <v>1250</v>
      </c>
      <c r="D732" s="11"/>
      <c r="E732" s="11" t="s">
        <v>519</v>
      </c>
      <c r="F732" s="52">
        <f>SUM(F733:F735)</f>
        <v>880.30000000000007</v>
      </c>
      <c r="G732" s="52">
        <f>SUM(G733:G735)</f>
        <v>0</v>
      </c>
      <c r="H732" s="52">
        <f>SUM(H733:H735)</f>
        <v>0</v>
      </c>
      <c r="I732" s="11" t="s">
        <v>1255</v>
      </c>
      <c r="J732" s="13" t="s">
        <v>22</v>
      </c>
      <c r="K732" s="13">
        <v>1</v>
      </c>
      <c r="L732" s="13"/>
      <c r="M732" s="24"/>
    </row>
    <row r="733" spans="1:13" x14ac:dyDescent="0.25">
      <c r="A733" s="71"/>
      <c r="B733" s="74"/>
      <c r="C733" s="74"/>
      <c r="D733" s="8" t="s">
        <v>30</v>
      </c>
      <c r="E733" s="8"/>
      <c r="F733" s="44">
        <v>642.20000000000005</v>
      </c>
      <c r="G733" s="44">
        <v>0</v>
      </c>
      <c r="H733" s="44">
        <v>0</v>
      </c>
      <c r="I733" s="8" t="s">
        <v>1256</v>
      </c>
      <c r="J733" s="9" t="s">
        <v>22</v>
      </c>
      <c r="K733" s="9">
        <v>3</v>
      </c>
      <c r="L733" s="9"/>
      <c r="M733" s="23"/>
    </row>
    <row r="734" spans="1:13" x14ac:dyDescent="0.25">
      <c r="A734" s="71"/>
      <c r="B734" s="74"/>
      <c r="C734" s="74"/>
      <c r="D734" s="98" t="s">
        <v>42</v>
      </c>
      <c r="E734" s="98"/>
      <c r="F734" s="118">
        <v>238.1</v>
      </c>
      <c r="G734" s="118">
        <v>0</v>
      </c>
      <c r="H734" s="118">
        <v>0</v>
      </c>
      <c r="I734" s="8" t="s">
        <v>1257</v>
      </c>
      <c r="J734" s="9" t="s">
        <v>93</v>
      </c>
      <c r="K734" s="9">
        <v>1</v>
      </c>
      <c r="L734" s="9"/>
      <c r="M734" s="23"/>
    </row>
    <row r="735" spans="1:13" ht="30.75" thickBot="1" x14ac:dyDescent="0.3">
      <c r="A735" s="72"/>
      <c r="B735" s="75"/>
      <c r="C735" s="75"/>
      <c r="D735" s="86"/>
      <c r="E735" s="86"/>
      <c r="F735" s="120"/>
      <c r="G735" s="120"/>
      <c r="H735" s="120"/>
      <c r="I735" s="8" t="s">
        <v>1258</v>
      </c>
      <c r="J735" s="9" t="s">
        <v>97</v>
      </c>
      <c r="K735" s="9">
        <v>8</v>
      </c>
      <c r="L735" s="9"/>
      <c r="M735" s="23"/>
    </row>
    <row r="736" spans="1:13" ht="45.75" thickBot="1" x14ac:dyDescent="0.3">
      <c r="A736" s="10" t="s">
        <v>1259</v>
      </c>
      <c r="B736" s="11" t="s">
        <v>1260</v>
      </c>
      <c r="C736" s="12" t="s">
        <v>1250</v>
      </c>
      <c r="D736" s="11" t="s">
        <v>30</v>
      </c>
      <c r="E736" s="11"/>
      <c r="F736" s="56">
        <v>102.2</v>
      </c>
      <c r="G736" s="56">
        <v>102.2</v>
      </c>
      <c r="H736" s="56">
        <v>102.2</v>
      </c>
      <c r="I736" s="11" t="s">
        <v>1261</v>
      </c>
      <c r="J736" s="13" t="s">
        <v>97</v>
      </c>
      <c r="K736" s="13">
        <v>8</v>
      </c>
      <c r="L736" s="13">
        <v>8</v>
      </c>
      <c r="M736" s="24">
        <v>4</v>
      </c>
    </row>
    <row r="737" spans="1:13" ht="45" x14ac:dyDescent="0.25">
      <c r="A737" s="70" t="s">
        <v>1262</v>
      </c>
      <c r="B737" s="73" t="s">
        <v>1263</v>
      </c>
      <c r="C737" s="73" t="s">
        <v>1250</v>
      </c>
      <c r="D737" s="84" t="s">
        <v>30</v>
      </c>
      <c r="E737" s="84"/>
      <c r="F737" s="103">
        <f>SUM(F738:F740)+480</f>
        <v>480</v>
      </c>
      <c r="G737" s="103">
        <f>SUM(G738:G740)+480</f>
        <v>480</v>
      </c>
      <c r="H737" s="103">
        <f>SUM(H738:H740)+480.1</f>
        <v>480.1</v>
      </c>
      <c r="I737" s="11" t="s">
        <v>1264</v>
      </c>
      <c r="J737" s="13" t="s">
        <v>27</v>
      </c>
      <c r="K737" s="13">
        <v>40</v>
      </c>
      <c r="L737" s="13">
        <v>80</v>
      </c>
      <c r="M737" s="24">
        <v>100</v>
      </c>
    </row>
    <row r="738" spans="1:13" ht="30" x14ac:dyDescent="0.25">
      <c r="A738" s="71"/>
      <c r="B738" s="74"/>
      <c r="C738" s="74"/>
      <c r="D738" s="85"/>
      <c r="E738" s="85"/>
      <c r="F738" s="108"/>
      <c r="G738" s="108"/>
      <c r="H738" s="108"/>
      <c r="I738" s="8" t="s">
        <v>1265</v>
      </c>
      <c r="J738" s="9" t="s">
        <v>97</v>
      </c>
      <c r="K738" s="9">
        <v>20</v>
      </c>
      <c r="L738" s="9">
        <v>30</v>
      </c>
      <c r="M738" s="23">
        <v>10</v>
      </c>
    </row>
    <row r="739" spans="1:13" ht="30" x14ac:dyDescent="0.25">
      <c r="A739" s="71"/>
      <c r="B739" s="74"/>
      <c r="C739" s="74"/>
      <c r="D739" s="85"/>
      <c r="E739" s="85"/>
      <c r="F739" s="108"/>
      <c r="G739" s="108"/>
      <c r="H739" s="108"/>
      <c r="I739" s="8" t="s">
        <v>1266</v>
      </c>
      <c r="J739" s="9" t="s">
        <v>97</v>
      </c>
      <c r="K739" s="9">
        <v>50</v>
      </c>
      <c r="L739" s="9">
        <v>50</v>
      </c>
      <c r="M739" s="23">
        <v>30</v>
      </c>
    </row>
    <row r="740" spans="1:13" ht="30.75" thickBot="1" x14ac:dyDescent="0.3">
      <c r="A740" s="72"/>
      <c r="B740" s="75"/>
      <c r="C740" s="75"/>
      <c r="D740" s="86"/>
      <c r="E740" s="86"/>
      <c r="F740" s="104"/>
      <c r="G740" s="104"/>
      <c r="H740" s="104"/>
      <c r="I740" s="58" t="s">
        <v>1267</v>
      </c>
      <c r="J740" s="14" t="s">
        <v>22</v>
      </c>
      <c r="K740" s="14"/>
      <c r="L740" s="14">
        <v>1</v>
      </c>
      <c r="M740" s="32"/>
    </row>
    <row r="741" spans="1:13" s="2" customFormat="1" x14ac:dyDescent="0.25">
      <c r="A741" s="15"/>
      <c r="B741" s="15"/>
      <c r="C741" s="16"/>
      <c r="D741" s="15"/>
      <c r="E741" s="15"/>
      <c r="F741" s="57"/>
      <c r="G741" s="57"/>
      <c r="H741" s="57"/>
      <c r="I741" s="15"/>
      <c r="J741" s="17"/>
      <c r="K741" s="17"/>
      <c r="L741" s="17"/>
      <c r="M741" s="17"/>
    </row>
    <row r="742" spans="1:13" s="2" customFormat="1" x14ac:dyDescent="0.25">
      <c r="A742" s="15"/>
      <c r="B742" s="15"/>
      <c r="C742" s="16"/>
      <c r="D742" s="15"/>
      <c r="E742" s="15"/>
      <c r="F742" s="57"/>
      <c r="G742" s="57"/>
      <c r="H742" s="57"/>
      <c r="I742" s="15"/>
      <c r="J742" s="17"/>
      <c r="K742" s="17"/>
      <c r="L742" s="17"/>
      <c r="M742" s="17"/>
    </row>
    <row r="743" spans="1:13" s="2" customFormat="1" x14ac:dyDescent="0.25">
      <c r="A743" s="15"/>
      <c r="B743" s="15"/>
      <c r="C743" s="16"/>
      <c r="D743" s="15"/>
      <c r="E743" s="15"/>
      <c r="F743" s="57"/>
      <c r="G743" s="57"/>
      <c r="H743" s="57"/>
      <c r="I743" s="15"/>
      <c r="J743" s="17"/>
      <c r="K743" s="17"/>
      <c r="L743" s="17"/>
      <c r="M743" s="17"/>
    </row>
    <row r="744" spans="1:13" s="2" customFormat="1" x14ac:dyDescent="0.25">
      <c r="A744" s="15"/>
      <c r="B744" s="15"/>
      <c r="C744" s="16"/>
      <c r="D744" s="15"/>
      <c r="E744" s="15"/>
      <c r="F744" s="57"/>
      <c r="G744" s="57"/>
      <c r="H744" s="57"/>
      <c r="I744" s="15"/>
      <c r="J744" s="17"/>
      <c r="K744" s="17"/>
      <c r="L744" s="17"/>
      <c r="M744" s="17"/>
    </row>
    <row r="745" spans="1:13" s="2" customFormat="1" x14ac:dyDescent="0.25">
      <c r="A745" s="15"/>
      <c r="B745" s="15"/>
      <c r="C745" s="16"/>
      <c r="D745" s="15"/>
      <c r="E745" s="15"/>
      <c r="F745" s="57"/>
      <c r="G745" s="57"/>
      <c r="H745" s="57"/>
      <c r="I745" s="15"/>
      <c r="J745" s="17"/>
      <c r="K745" s="17"/>
      <c r="L745" s="17"/>
      <c r="M745" s="17"/>
    </row>
    <row r="746" spans="1:13" ht="42.75" x14ac:dyDescent="0.25">
      <c r="A746" s="49" t="s">
        <v>0</v>
      </c>
      <c r="B746" s="49" t="s">
        <v>1</v>
      </c>
      <c r="C746" s="49" t="s">
        <v>5</v>
      </c>
      <c r="D746" s="59" t="s">
        <v>6</v>
      </c>
      <c r="E746" s="59" t="s">
        <v>7</v>
      </c>
    </row>
    <row r="747" spans="1:13" ht="28.5" x14ac:dyDescent="0.25">
      <c r="A747" s="50" t="s">
        <v>1268</v>
      </c>
      <c r="B747" s="50" t="s">
        <v>1269</v>
      </c>
      <c r="C747" s="51">
        <f>SUM(C748:C755)</f>
        <v>305897.7</v>
      </c>
      <c r="D747" s="60">
        <f>SUM(D748:D755)</f>
        <v>319885.69999999995</v>
      </c>
      <c r="E747" s="60">
        <f>SUM(E748:E755)</f>
        <v>311671.99999999994</v>
      </c>
    </row>
    <row r="748" spans="1:13" x14ac:dyDescent="0.25">
      <c r="A748" s="8" t="s">
        <v>42</v>
      </c>
      <c r="B748" s="8" t="s">
        <v>1270</v>
      </c>
      <c r="C748" s="44">
        <v>168220.1</v>
      </c>
      <c r="D748" s="61">
        <v>176952.7</v>
      </c>
      <c r="E748" s="61">
        <v>183658.3</v>
      </c>
    </row>
    <row r="749" spans="1:13" x14ac:dyDescent="0.25">
      <c r="A749" s="8" t="s">
        <v>1115</v>
      </c>
      <c r="B749" s="8" t="s">
        <v>1271</v>
      </c>
      <c r="C749" s="44">
        <v>71792.3</v>
      </c>
      <c r="D749" s="61">
        <v>71792.3</v>
      </c>
      <c r="E749" s="61">
        <v>71792.3</v>
      </c>
    </row>
    <row r="750" spans="1:13" ht="30" x14ac:dyDescent="0.25">
      <c r="A750" s="8" t="s">
        <v>155</v>
      </c>
      <c r="B750" s="8" t="s">
        <v>1272</v>
      </c>
      <c r="C750" s="44">
        <v>10618.8</v>
      </c>
      <c r="D750" s="61">
        <v>11018.8</v>
      </c>
      <c r="E750" s="61">
        <v>11518.8</v>
      </c>
    </row>
    <row r="751" spans="1:13" x14ac:dyDescent="0.25">
      <c r="A751" s="8" t="s">
        <v>28</v>
      </c>
      <c r="B751" s="8" t="s">
        <v>1273</v>
      </c>
      <c r="C751" s="44">
        <v>12383.8</v>
      </c>
      <c r="D751" s="61">
        <v>12669.3</v>
      </c>
      <c r="E751" s="61">
        <v>10585.2</v>
      </c>
    </row>
    <row r="752" spans="1:13" ht="30" x14ac:dyDescent="0.25">
      <c r="A752" s="8" t="s">
        <v>512</v>
      </c>
      <c r="B752" s="8" t="s">
        <v>1274</v>
      </c>
      <c r="C752" s="44">
        <v>8663</v>
      </c>
      <c r="D752" s="61">
        <v>8673</v>
      </c>
      <c r="E752" s="61">
        <v>8664</v>
      </c>
    </row>
    <row r="753" spans="1:5" x14ac:dyDescent="0.25">
      <c r="A753" s="8" t="s">
        <v>30</v>
      </c>
      <c r="B753" s="8" t="s">
        <v>1275</v>
      </c>
      <c r="C753" s="44">
        <v>26739.7</v>
      </c>
      <c r="D753" s="61">
        <v>31286.1</v>
      </c>
      <c r="E753" s="61">
        <v>17951.5</v>
      </c>
    </row>
    <row r="754" spans="1:5" x14ac:dyDescent="0.25">
      <c r="A754" s="8" t="s">
        <v>108</v>
      </c>
      <c r="B754" s="8" t="s">
        <v>1276</v>
      </c>
      <c r="C754" s="44">
        <v>6880</v>
      </c>
      <c r="D754" s="61">
        <v>6893.5</v>
      </c>
      <c r="E754" s="61">
        <v>6901.8</v>
      </c>
    </row>
    <row r="755" spans="1:5" ht="45" x14ac:dyDescent="0.25">
      <c r="A755" s="8" t="s">
        <v>371</v>
      </c>
      <c r="B755" s="8" t="s">
        <v>1277</v>
      </c>
      <c r="C755" s="44">
        <v>600</v>
      </c>
      <c r="D755" s="61">
        <v>600</v>
      </c>
      <c r="E755" s="61">
        <v>600.1</v>
      </c>
    </row>
    <row r="756" spans="1:5" ht="24" customHeight="1" x14ac:dyDescent="0.25">
      <c r="A756" s="50" t="s">
        <v>1278</v>
      </c>
      <c r="B756" s="50" t="s">
        <v>1279</v>
      </c>
      <c r="C756" s="51">
        <f>SUM(C757:C759)</f>
        <v>46600.3</v>
      </c>
      <c r="D756" s="60">
        <f>SUM(D757:D759)</f>
        <v>45999.4</v>
      </c>
      <c r="E756" s="60">
        <f>SUM(E757:E759)</f>
        <v>45681.4</v>
      </c>
    </row>
    <row r="757" spans="1:5" x14ac:dyDescent="0.25">
      <c r="A757" s="8" t="s">
        <v>284</v>
      </c>
      <c r="B757" s="8" t="s">
        <v>1280</v>
      </c>
      <c r="C757" s="44">
        <v>42740.800000000003</v>
      </c>
      <c r="D757" s="61">
        <v>42709</v>
      </c>
      <c r="E757" s="61">
        <v>42709</v>
      </c>
    </row>
    <row r="758" spans="1:5" x14ac:dyDescent="0.25">
      <c r="A758" s="8" t="s">
        <v>739</v>
      </c>
      <c r="B758" s="8" t="s">
        <v>1281</v>
      </c>
      <c r="C758" s="44">
        <v>2459.4</v>
      </c>
      <c r="D758" s="61">
        <v>1984.1</v>
      </c>
      <c r="E758" s="61">
        <v>1706.8</v>
      </c>
    </row>
    <row r="759" spans="1:5" x14ac:dyDescent="0.25">
      <c r="A759" s="8" t="s">
        <v>136</v>
      </c>
      <c r="B759" s="8" t="s">
        <v>1282</v>
      </c>
      <c r="C759" s="44">
        <v>1400.1</v>
      </c>
      <c r="D759" s="61">
        <v>1306.3</v>
      </c>
      <c r="E759" s="61">
        <v>1265.5999999999999</v>
      </c>
    </row>
    <row r="760" spans="1:5" ht="28.5" x14ac:dyDescent="0.25">
      <c r="A760" s="46"/>
      <c r="B760" s="47" t="s">
        <v>1283</v>
      </c>
      <c r="C760" s="48">
        <f>C747+C756</f>
        <v>352498</v>
      </c>
      <c r="D760" s="62">
        <f>D747+D756</f>
        <v>365885.1</v>
      </c>
      <c r="E760" s="62">
        <f>E747+E756</f>
        <v>357353.39999999997</v>
      </c>
    </row>
  </sheetData>
  <mergeCells count="1091">
    <mergeCell ref="M602:M604"/>
    <mergeCell ref="F453:F455"/>
    <mergeCell ref="G453:G455"/>
    <mergeCell ref="H453:H455"/>
    <mergeCell ref="F302:F303"/>
    <mergeCell ref="G302:G303"/>
    <mergeCell ref="H302:H303"/>
    <mergeCell ref="I420:I422"/>
    <mergeCell ref="J420:J422"/>
    <mergeCell ref="K420:K422"/>
    <mergeCell ref="L420:L422"/>
    <mergeCell ref="M420:M422"/>
    <mergeCell ref="I446:I448"/>
    <mergeCell ref="J446:J448"/>
    <mergeCell ref="K446:K448"/>
    <mergeCell ref="L446:L448"/>
    <mergeCell ref="M446:M448"/>
    <mergeCell ref="I360:I362"/>
    <mergeCell ref="J360:J362"/>
    <mergeCell ref="K360:K362"/>
    <mergeCell ref="L360:L362"/>
    <mergeCell ref="M360:M362"/>
    <mergeCell ref="J466:J468"/>
    <mergeCell ref="J602:J604"/>
    <mergeCell ref="F469:F470"/>
    <mergeCell ref="F471:F472"/>
    <mergeCell ref="G469:G470"/>
    <mergeCell ref="G471:G472"/>
    <mergeCell ref="H469:H470"/>
    <mergeCell ref="H471:H472"/>
    <mergeCell ref="F480:F481"/>
    <mergeCell ref="G480:G481"/>
    <mergeCell ref="I182:I183"/>
    <mergeCell ref="J182:J183"/>
    <mergeCell ref="K182:K183"/>
    <mergeCell ref="L182:L183"/>
    <mergeCell ref="M182:M183"/>
    <mergeCell ref="K123:K124"/>
    <mergeCell ref="L123:L124"/>
    <mergeCell ref="F16:F21"/>
    <mergeCell ref="G16:G21"/>
    <mergeCell ref="H16:H21"/>
    <mergeCell ref="F42:F44"/>
    <mergeCell ref="G42:G44"/>
    <mergeCell ref="H42:H44"/>
    <mergeCell ref="F139:F142"/>
    <mergeCell ref="G139:G142"/>
    <mergeCell ref="H139:H142"/>
    <mergeCell ref="F126:F133"/>
    <mergeCell ref="G126:G133"/>
    <mergeCell ref="H126:H133"/>
    <mergeCell ref="M123:M124"/>
    <mergeCell ref="E42:E44"/>
    <mergeCell ref="D50:D54"/>
    <mergeCell ref="E50:E54"/>
    <mergeCell ref="F50:F54"/>
    <mergeCell ref="G50:G54"/>
    <mergeCell ref="H50:H54"/>
    <mergeCell ref="D46:D48"/>
    <mergeCell ref="E46:E48"/>
    <mergeCell ref="F46:F48"/>
    <mergeCell ref="G46:G48"/>
    <mergeCell ref="H46:H48"/>
    <mergeCell ref="F27:F28"/>
    <mergeCell ref="G27:G28"/>
    <mergeCell ref="H27:H28"/>
    <mergeCell ref="F55:F56"/>
    <mergeCell ref="G55:G56"/>
    <mergeCell ref="H55:H56"/>
    <mergeCell ref="D68:D70"/>
    <mergeCell ref="E68:E70"/>
    <mergeCell ref="F68:F70"/>
    <mergeCell ref="G68:G70"/>
    <mergeCell ref="H68:H70"/>
    <mergeCell ref="D60:D66"/>
    <mergeCell ref="E60:E66"/>
    <mergeCell ref="F60:F66"/>
    <mergeCell ref="G60:G66"/>
    <mergeCell ref="H60:H66"/>
    <mergeCell ref="D75:D78"/>
    <mergeCell ref="E75:E78"/>
    <mergeCell ref="F75:F78"/>
    <mergeCell ref="G75:G78"/>
    <mergeCell ref="H75:H78"/>
    <mergeCell ref="D71:D72"/>
    <mergeCell ref="E71:E72"/>
    <mergeCell ref="F71:F72"/>
    <mergeCell ref="G71:G72"/>
    <mergeCell ref="H71:H72"/>
    <mergeCell ref="I269:I271"/>
    <mergeCell ref="J269:J271"/>
    <mergeCell ref="K269:K271"/>
    <mergeCell ref="L269:L271"/>
    <mergeCell ref="M269:M271"/>
    <mergeCell ref="I194:I195"/>
    <mergeCell ref="J194:J195"/>
    <mergeCell ref="K194:K195"/>
    <mergeCell ref="L194:L195"/>
    <mergeCell ref="M194:M195"/>
    <mergeCell ref="F246:F248"/>
    <mergeCell ref="G246:G248"/>
    <mergeCell ref="H246:H248"/>
    <mergeCell ref="D249:D250"/>
    <mergeCell ref="E249:E250"/>
    <mergeCell ref="F249:F250"/>
    <mergeCell ref="G249:G250"/>
    <mergeCell ref="H249:H250"/>
    <mergeCell ref="D238:D239"/>
    <mergeCell ref="E238:E239"/>
    <mergeCell ref="F238:F239"/>
    <mergeCell ref="G238:G239"/>
    <mergeCell ref="H238:H239"/>
    <mergeCell ref="D241:D245"/>
    <mergeCell ref="E241:E245"/>
    <mergeCell ref="I272:I274"/>
    <mergeCell ref="J272:J274"/>
    <mergeCell ref="K272:K274"/>
    <mergeCell ref="L272:L274"/>
    <mergeCell ref="M272:M274"/>
    <mergeCell ref="K466:K468"/>
    <mergeCell ref="L466:L468"/>
    <mergeCell ref="M466:M468"/>
    <mergeCell ref="I461:I463"/>
    <mergeCell ref="J461:J463"/>
    <mergeCell ref="K461:K463"/>
    <mergeCell ref="L461:L463"/>
    <mergeCell ref="M461:M463"/>
    <mergeCell ref="D737:D740"/>
    <mergeCell ref="E737:E740"/>
    <mergeCell ref="F737:F740"/>
    <mergeCell ref="G737:G740"/>
    <mergeCell ref="H737:H740"/>
    <mergeCell ref="F529:F531"/>
    <mergeCell ref="G529:G531"/>
    <mergeCell ref="H529:H531"/>
    <mergeCell ref="I466:I468"/>
    <mergeCell ref="I475:I477"/>
    <mergeCell ref="D729:D731"/>
    <mergeCell ref="E729:E731"/>
    <mergeCell ref="F729:F731"/>
    <mergeCell ref="G729:G731"/>
    <mergeCell ref="H729:H731"/>
    <mergeCell ref="D734:D735"/>
    <mergeCell ref="E734:E735"/>
    <mergeCell ref="F734:F735"/>
    <mergeCell ref="G734:G735"/>
    <mergeCell ref="H734:H735"/>
    <mergeCell ref="D722:D724"/>
    <mergeCell ref="E722:E724"/>
    <mergeCell ref="F722:F724"/>
    <mergeCell ref="I602:I604"/>
    <mergeCell ref="F725:F728"/>
    <mergeCell ref="G725:G728"/>
    <mergeCell ref="H725:H728"/>
    <mergeCell ref="D715:D716"/>
    <mergeCell ref="E715:E716"/>
    <mergeCell ref="F715:F716"/>
    <mergeCell ref="G715:G716"/>
    <mergeCell ref="H715:H716"/>
    <mergeCell ref="F717:F718"/>
    <mergeCell ref="G717:G718"/>
    <mergeCell ref="H717:H718"/>
    <mergeCell ref="D719:D721"/>
    <mergeCell ref="E719:E721"/>
    <mergeCell ref="F719:F721"/>
    <mergeCell ref="G719:G721"/>
    <mergeCell ref="H719:H721"/>
    <mergeCell ref="D712:D714"/>
    <mergeCell ref="E712:E714"/>
    <mergeCell ref="F712:F714"/>
    <mergeCell ref="G712:G714"/>
    <mergeCell ref="H712:H714"/>
    <mergeCell ref="G667:G669"/>
    <mergeCell ref="H667:H669"/>
    <mergeCell ref="D667:D669"/>
    <mergeCell ref="M689:M693"/>
    <mergeCell ref="D696:D699"/>
    <mergeCell ref="E696:E699"/>
    <mergeCell ref="F696:F699"/>
    <mergeCell ref="G696:G699"/>
    <mergeCell ref="H696:H699"/>
    <mergeCell ref="D700:D705"/>
    <mergeCell ref="E700:E705"/>
    <mergeCell ref="F700:F705"/>
    <mergeCell ref="G700:G705"/>
    <mergeCell ref="H700:H705"/>
    <mergeCell ref="G722:G724"/>
    <mergeCell ref="H722:H724"/>
    <mergeCell ref="L689:L693"/>
    <mergeCell ref="I658:I659"/>
    <mergeCell ref="J658:J659"/>
    <mergeCell ref="K658:K659"/>
    <mergeCell ref="L658:L659"/>
    <mergeCell ref="M658:M659"/>
    <mergeCell ref="I665:I666"/>
    <mergeCell ref="J665:J666"/>
    <mergeCell ref="K665:K666"/>
    <mergeCell ref="L665:L666"/>
    <mergeCell ref="M665:M666"/>
    <mergeCell ref="M674:M677"/>
    <mergeCell ref="D708:D709"/>
    <mergeCell ref="E708:E709"/>
    <mergeCell ref="F708:F709"/>
    <mergeCell ref="G708:G709"/>
    <mergeCell ref="H708:H709"/>
    <mergeCell ref="E667:E669"/>
    <mergeCell ref="F667:F669"/>
    <mergeCell ref="M627:M629"/>
    <mergeCell ref="F632:F634"/>
    <mergeCell ref="G632:G634"/>
    <mergeCell ref="H632:H634"/>
    <mergeCell ref="D640:D642"/>
    <mergeCell ref="E640:E642"/>
    <mergeCell ref="F640:F642"/>
    <mergeCell ref="G640:G642"/>
    <mergeCell ref="H640:H642"/>
    <mergeCell ref="G681:G682"/>
    <mergeCell ref="H681:H682"/>
    <mergeCell ref="F686:F688"/>
    <mergeCell ref="G686:G688"/>
    <mergeCell ref="H686:H688"/>
    <mergeCell ref="D615:D617"/>
    <mergeCell ref="E615:E617"/>
    <mergeCell ref="F615:F617"/>
    <mergeCell ref="G615:G617"/>
    <mergeCell ref="H615:H617"/>
    <mergeCell ref="I627:I629"/>
    <mergeCell ref="J627:J629"/>
    <mergeCell ref="K627:K629"/>
    <mergeCell ref="L627:L629"/>
    <mergeCell ref="L674:L677"/>
    <mergeCell ref="F643:F645"/>
    <mergeCell ref="G643:G645"/>
    <mergeCell ref="H643:H645"/>
    <mergeCell ref="D654:D655"/>
    <mergeCell ref="E654:E655"/>
    <mergeCell ref="F654:F655"/>
    <mergeCell ref="G654:G655"/>
    <mergeCell ref="H654:H655"/>
    <mergeCell ref="D593:D595"/>
    <mergeCell ref="E593:E595"/>
    <mergeCell ref="F593:F595"/>
    <mergeCell ref="G593:G595"/>
    <mergeCell ref="H593:H595"/>
    <mergeCell ref="D597:D598"/>
    <mergeCell ref="E597:E598"/>
    <mergeCell ref="F597:F598"/>
    <mergeCell ref="G597:G598"/>
    <mergeCell ref="H597:H598"/>
    <mergeCell ref="K602:K604"/>
    <mergeCell ref="L602:L604"/>
    <mergeCell ref="F579:F585"/>
    <mergeCell ref="G579:G585"/>
    <mergeCell ref="H579:H585"/>
    <mergeCell ref="D586:D589"/>
    <mergeCell ref="E586:E589"/>
    <mergeCell ref="F586:F589"/>
    <mergeCell ref="G586:G589"/>
    <mergeCell ref="H586:H589"/>
    <mergeCell ref="D590:D592"/>
    <mergeCell ref="E590:E592"/>
    <mergeCell ref="F590:F592"/>
    <mergeCell ref="G590:G592"/>
    <mergeCell ref="H590:H592"/>
    <mergeCell ref="F563:F564"/>
    <mergeCell ref="G563:G564"/>
    <mergeCell ref="H563:H564"/>
    <mergeCell ref="I565:I567"/>
    <mergeCell ref="I569:I571"/>
    <mergeCell ref="F573:F578"/>
    <mergeCell ref="G573:G578"/>
    <mergeCell ref="H573:H578"/>
    <mergeCell ref="D558:D559"/>
    <mergeCell ref="E558:E559"/>
    <mergeCell ref="F558:F559"/>
    <mergeCell ref="G558:G559"/>
    <mergeCell ref="H558:H559"/>
    <mergeCell ref="D560:D562"/>
    <mergeCell ref="E560:E562"/>
    <mergeCell ref="F560:F562"/>
    <mergeCell ref="G560:G562"/>
    <mergeCell ref="H560:H562"/>
    <mergeCell ref="F544:F549"/>
    <mergeCell ref="G544:G549"/>
    <mergeCell ref="H544:H549"/>
    <mergeCell ref="D550:D557"/>
    <mergeCell ref="E550:E557"/>
    <mergeCell ref="F550:F557"/>
    <mergeCell ref="G550:G557"/>
    <mergeCell ref="H550:H557"/>
    <mergeCell ref="H516:H518"/>
    <mergeCell ref="D532:D538"/>
    <mergeCell ref="E532:E538"/>
    <mergeCell ref="F532:F538"/>
    <mergeCell ref="G532:G538"/>
    <mergeCell ref="H532:H538"/>
    <mergeCell ref="D540:D543"/>
    <mergeCell ref="E540:E543"/>
    <mergeCell ref="F540:F543"/>
    <mergeCell ref="G540:G543"/>
    <mergeCell ref="H540:H543"/>
    <mergeCell ref="D500:D505"/>
    <mergeCell ref="E500:E505"/>
    <mergeCell ref="F500:F505"/>
    <mergeCell ref="G500:G505"/>
    <mergeCell ref="H500:H505"/>
    <mergeCell ref="D506:D507"/>
    <mergeCell ref="E506:E507"/>
    <mergeCell ref="F506:F507"/>
    <mergeCell ref="G506:G507"/>
    <mergeCell ref="H506:H507"/>
    <mergeCell ref="G512:G514"/>
    <mergeCell ref="H512:H514"/>
    <mergeCell ref="F516:F518"/>
    <mergeCell ref="G516:G518"/>
    <mergeCell ref="D487:D490"/>
    <mergeCell ref="E487:E490"/>
    <mergeCell ref="F487:F490"/>
    <mergeCell ref="G487:G490"/>
    <mergeCell ref="H487:H490"/>
    <mergeCell ref="D491:D499"/>
    <mergeCell ref="E491:E499"/>
    <mergeCell ref="F491:F499"/>
    <mergeCell ref="G491:G499"/>
    <mergeCell ref="H491:H499"/>
    <mergeCell ref="D441:D442"/>
    <mergeCell ref="E441:E442"/>
    <mergeCell ref="F441:F442"/>
    <mergeCell ref="G441:G442"/>
    <mergeCell ref="H441:H442"/>
    <mergeCell ref="D443:D444"/>
    <mergeCell ref="E443:E444"/>
    <mergeCell ref="F443:F444"/>
    <mergeCell ref="G443:G444"/>
    <mergeCell ref="H443:H444"/>
    <mergeCell ref="D426:D434"/>
    <mergeCell ref="E426:E434"/>
    <mergeCell ref="F426:F434"/>
    <mergeCell ref="G426:G434"/>
    <mergeCell ref="H426:H434"/>
    <mergeCell ref="D435:D440"/>
    <mergeCell ref="E435:E440"/>
    <mergeCell ref="F435:F440"/>
    <mergeCell ref="G435:G440"/>
    <mergeCell ref="H435:H440"/>
    <mergeCell ref="F374:F379"/>
    <mergeCell ref="G374:G379"/>
    <mergeCell ref="H374:H379"/>
    <mergeCell ref="F337:F339"/>
    <mergeCell ref="G337:G339"/>
    <mergeCell ref="H337:H339"/>
    <mergeCell ref="D340:D349"/>
    <mergeCell ref="E340:E349"/>
    <mergeCell ref="F340:F349"/>
    <mergeCell ref="G340:G349"/>
    <mergeCell ref="H340:H349"/>
    <mergeCell ref="D350:D353"/>
    <mergeCell ref="E350:E353"/>
    <mergeCell ref="F350:F353"/>
    <mergeCell ref="G350:G353"/>
    <mergeCell ref="H350:H353"/>
    <mergeCell ref="D413:D415"/>
    <mergeCell ref="E413:E415"/>
    <mergeCell ref="F413:F415"/>
    <mergeCell ref="G413:G415"/>
    <mergeCell ref="H413:H415"/>
    <mergeCell ref="F381:F384"/>
    <mergeCell ref="G381:G384"/>
    <mergeCell ref="H381:H384"/>
    <mergeCell ref="D385:D387"/>
    <mergeCell ref="E385:E387"/>
    <mergeCell ref="F385:F387"/>
    <mergeCell ref="G385:G387"/>
    <mergeCell ref="H385:H387"/>
    <mergeCell ref="D388:D394"/>
    <mergeCell ref="E388:E394"/>
    <mergeCell ref="F388:F394"/>
    <mergeCell ref="H332:H336"/>
    <mergeCell ref="F305:F308"/>
    <mergeCell ref="G305:G308"/>
    <mergeCell ref="H305:H308"/>
    <mergeCell ref="D315:D317"/>
    <mergeCell ref="E315:E317"/>
    <mergeCell ref="F315:F317"/>
    <mergeCell ref="G315:G317"/>
    <mergeCell ref="H315:H317"/>
    <mergeCell ref="F320:F322"/>
    <mergeCell ref="G320:G322"/>
    <mergeCell ref="H320:H322"/>
    <mergeCell ref="D365:D373"/>
    <mergeCell ref="E365:E373"/>
    <mergeCell ref="F365:F373"/>
    <mergeCell ref="G365:G373"/>
    <mergeCell ref="H365:H373"/>
    <mergeCell ref="F355:F357"/>
    <mergeCell ref="G355:G357"/>
    <mergeCell ref="H355:H357"/>
    <mergeCell ref="F324:F326"/>
    <mergeCell ref="G324:G326"/>
    <mergeCell ref="H324:H326"/>
    <mergeCell ref="D327:D328"/>
    <mergeCell ref="F184:F189"/>
    <mergeCell ref="G184:G189"/>
    <mergeCell ref="H184:H189"/>
    <mergeCell ref="D196:D199"/>
    <mergeCell ref="E196:E199"/>
    <mergeCell ref="F196:F199"/>
    <mergeCell ref="G196:G199"/>
    <mergeCell ref="H196:H199"/>
    <mergeCell ref="C212:E212"/>
    <mergeCell ref="F282:F285"/>
    <mergeCell ref="G282:G285"/>
    <mergeCell ref="H282:H285"/>
    <mergeCell ref="D292:D300"/>
    <mergeCell ref="E292:E300"/>
    <mergeCell ref="F292:F300"/>
    <mergeCell ref="G292:G300"/>
    <mergeCell ref="H292:H300"/>
    <mergeCell ref="F251:F253"/>
    <mergeCell ref="G251:G253"/>
    <mergeCell ref="H251:H253"/>
    <mergeCell ref="F257:F264"/>
    <mergeCell ref="G257:G264"/>
    <mergeCell ref="H257:H264"/>
    <mergeCell ref="D267:D268"/>
    <mergeCell ref="E267:E268"/>
    <mergeCell ref="F267:F268"/>
    <mergeCell ref="G267:G268"/>
    <mergeCell ref="H267:H268"/>
    <mergeCell ref="H164:H166"/>
    <mergeCell ref="D167:D169"/>
    <mergeCell ref="E167:E169"/>
    <mergeCell ref="F167:F169"/>
    <mergeCell ref="G167:G169"/>
    <mergeCell ref="H167:H169"/>
    <mergeCell ref="D149:D152"/>
    <mergeCell ref="E149:E152"/>
    <mergeCell ref="F149:F152"/>
    <mergeCell ref="G149:G152"/>
    <mergeCell ref="H149:H152"/>
    <mergeCell ref="D144:D148"/>
    <mergeCell ref="E144:E148"/>
    <mergeCell ref="F144:F148"/>
    <mergeCell ref="G144:G148"/>
    <mergeCell ref="H144:H148"/>
    <mergeCell ref="F241:F245"/>
    <mergeCell ref="G241:G245"/>
    <mergeCell ref="H241:H245"/>
    <mergeCell ref="F201:F202"/>
    <mergeCell ref="G201:G202"/>
    <mergeCell ref="H201:H202"/>
    <mergeCell ref="D203:D206"/>
    <mergeCell ref="E203:E206"/>
    <mergeCell ref="F203:F206"/>
    <mergeCell ref="G203:G206"/>
    <mergeCell ref="H203:H206"/>
    <mergeCell ref="F177:F180"/>
    <mergeCell ref="G177:G180"/>
    <mergeCell ref="H177:H180"/>
    <mergeCell ref="D184:D189"/>
    <mergeCell ref="E184:E189"/>
    <mergeCell ref="I123:I124"/>
    <mergeCell ref="J123:J124"/>
    <mergeCell ref="B159:E159"/>
    <mergeCell ref="D153:D156"/>
    <mergeCell ref="E153:E156"/>
    <mergeCell ref="F153:F156"/>
    <mergeCell ref="G153:G156"/>
    <mergeCell ref="H153:H156"/>
    <mergeCell ref="I96:I98"/>
    <mergeCell ref="J96:J98"/>
    <mergeCell ref="K96:K98"/>
    <mergeCell ref="L96:L98"/>
    <mergeCell ref="M96:M98"/>
    <mergeCell ref="D100:D101"/>
    <mergeCell ref="E100:E101"/>
    <mergeCell ref="F100:F101"/>
    <mergeCell ref="G100:G101"/>
    <mergeCell ref="H100:H101"/>
    <mergeCell ref="D119:D120"/>
    <mergeCell ref="E119:E120"/>
    <mergeCell ref="F119:F120"/>
    <mergeCell ref="G119:G120"/>
    <mergeCell ref="H119:H120"/>
    <mergeCell ref="G107:G108"/>
    <mergeCell ref="H107:H108"/>
    <mergeCell ref="F110:F111"/>
    <mergeCell ref="G110:G111"/>
    <mergeCell ref="H110:H111"/>
    <mergeCell ref="C11:E11"/>
    <mergeCell ref="I11:M11"/>
    <mergeCell ref="A12:A13"/>
    <mergeCell ref="B12:E13"/>
    <mergeCell ref="A14:A21"/>
    <mergeCell ref="B14:B21"/>
    <mergeCell ref="C14:C21"/>
    <mergeCell ref="A38:A41"/>
    <mergeCell ref="B38:B41"/>
    <mergeCell ref="C38:C41"/>
    <mergeCell ref="A50:A54"/>
    <mergeCell ref="B50:B54"/>
    <mergeCell ref="C50:C54"/>
    <mergeCell ref="A55:A56"/>
    <mergeCell ref="B55:E56"/>
    <mergeCell ref="A42:A44"/>
    <mergeCell ref="B42:B44"/>
    <mergeCell ref="C42:C44"/>
    <mergeCell ref="A46:A48"/>
    <mergeCell ref="B46:B48"/>
    <mergeCell ref="C46:C48"/>
    <mergeCell ref="D42:D44"/>
    <mergeCell ref="D40:D41"/>
    <mergeCell ref="E40:E41"/>
    <mergeCell ref="F40:F41"/>
    <mergeCell ref="G40:G41"/>
    <mergeCell ref="H40:H41"/>
    <mergeCell ref="D29:D35"/>
    <mergeCell ref="E29:E35"/>
    <mergeCell ref="F29:F35"/>
    <mergeCell ref="G29:G35"/>
    <mergeCell ref="H29:H35"/>
    <mergeCell ref="A5:M5"/>
    <mergeCell ref="A8:A10"/>
    <mergeCell ref="B8:B10"/>
    <mergeCell ref="C8:C10"/>
    <mergeCell ref="D8:D10"/>
    <mergeCell ref="E8:E10"/>
    <mergeCell ref="F8:F10"/>
    <mergeCell ref="G8:G10"/>
    <mergeCell ref="H8:H10"/>
    <mergeCell ref="I9:I10"/>
    <mergeCell ref="J9:J10"/>
    <mergeCell ref="I8:M8"/>
    <mergeCell ref="K9:M9"/>
    <mergeCell ref="A29:A35"/>
    <mergeCell ref="B29:B35"/>
    <mergeCell ref="C29:C35"/>
    <mergeCell ref="B37:E37"/>
    <mergeCell ref="A22:A26"/>
    <mergeCell ref="B22:B26"/>
    <mergeCell ref="C22:C26"/>
    <mergeCell ref="A27:A28"/>
    <mergeCell ref="B27:B28"/>
    <mergeCell ref="C27:C28"/>
    <mergeCell ref="D27:D28"/>
    <mergeCell ref="E27:E28"/>
    <mergeCell ref="D24:D26"/>
    <mergeCell ref="E24:E26"/>
    <mergeCell ref="F24:F26"/>
    <mergeCell ref="G24:G26"/>
    <mergeCell ref="H24:H26"/>
    <mergeCell ref="D16:D21"/>
    <mergeCell ref="E16:E21"/>
    <mergeCell ref="A71:A72"/>
    <mergeCell ref="B71:B72"/>
    <mergeCell ref="C71:C72"/>
    <mergeCell ref="A73:A78"/>
    <mergeCell ref="B73:B78"/>
    <mergeCell ref="C73:C78"/>
    <mergeCell ref="A57:A66"/>
    <mergeCell ref="B57:B66"/>
    <mergeCell ref="C57:C66"/>
    <mergeCell ref="A68:A70"/>
    <mergeCell ref="B68:B70"/>
    <mergeCell ref="C68:C70"/>
    <mergeCell ref="I125:M125"/>
    <mergeCell ref="A126:A133"/>
    <mergeCell ref="A100:A101"/>
    <mergeCell ref="B100:B101"/>
    <mergeCell ref="C100:C101"/>
    <mergeCell ref="A119:A120"/>
    <mergeCell ref="B119:B120"/>
    <mergeCell ref="C119:C120"/>
    <mergeCell ref="A122:A124"/>
    <mergeCell ref="B122:B124"/>
    <mergeCell ref="C122:C124"/>
    <mergeCell ref="A107:A108"/>
    <mergeCell ref="B107:B108"/>
    <mergeCell ref="C107:C108"/>
    <mergeCell ref="A110:A111"/>
    <mergeCell ref="B110:B111"/>
    <mergeCell ref="C110:C111"/>
    <mergeCell ref="D107:D108"/>
    <mergeCell ref="E107:E108"/>
    <mergeCell ref="F107:F108"/>
    <mergeCell ref="A134:A142"/>
    <mergeCell ref="B134:B142"/>
    <mergeCell ref="C134:C142"/>
    <mergeCell ref="A144:A148"/>
    <mergeCell ref="B144:B148"/>
    <mergeCell ref="C144:C148"/>
    <mergeCell ref="B81:E81"/>
    <mergeCell ref="B106:E106"/>
    <mergeCell ref="B112:E112"/>
    <mergeCell ref="C125:E125"/>
    <mergeCell ref="B126:E133"/>
    <mergeCell ref="A96:A98"/>
    <mergeCell ref="B96:B98"/>
    <mergeCell ref="C96:C98"/>
    <mergeCell ref="E139:E142"/>
    <mergeCell ref="D110:D111"/>
    <mergeCell ref="E110:E111"/>
    <mergeCell ref="D139:D142"/>
    <mergeCell ref="A160:A162"/>
    <mergeCell ref="B160:B162"/>
    <mergeCell ref="C160:C162"/>
    <mergeCell ref="A164:A166"/>
    <mergeCell ref="B164:B166"/>
    <mergeCell ref="C164:C166"/>
    <mergeCell ref="A149:A152"/>
    <mergeCell ref="B149:B152"/>
    <mergeCell ref="C149:C152"/>
    <mergeCell ref="A153:A156"/>
    <mergeCell ref="B153:B156"/>
    <mergeCell ref="C153:C156"/>
    <mergeCell ref="A173:A175"/>
    <mergeCell ref="B173:B175"/>
    <mergeCell ref="C173:C175"/>
    <mergeCell ref="C176:E176"/>
    <mergeCell ref="I176:M176"/>
    <mergeCell ref="A167:A169"/>
    <mergeCell ref="B167:B169"/>
    <mergeCell ref="C167:C169"/>
    <mergeCell ref="A170:A172"/>
    <mergeCell ref="B170:B172"/>
    <mergeCell ref="C170:C172"/>
    <mergeCell ref="D173:D175"/>
    <mergeCell ref="E173:E175"/>
    <mergeCell ref="F173:F175"/>
    <mergeCell ref="G173:G175"/>
    <mergeCell ref="H173:H175"/>
    <mergeCell ref="D164:D166"/>
    <mergeCell ref="E164:E166"/>
    <mergeCell ref="F164:F166"/>
    <mergeCell ref="G164:G166"/>
    <mergeCell ref="A184:A189"/>
    <mergeCell ref="B184:B189"/>
    <mergeCell ref="C184:C189"/>
    <mergeCell ref="A190:A192"/>
    <mergeCell ref="B190:B192"/>
    <mergeCell ref="C190:C192"/>
    <mergeCell ref="A177:A180"/>
    <mergeCell ref="B177:E180"/>
    <mergeCell ref="A181:A183"/>
    <mergeCell ref="B181:B183"/>
    <mergeCell ref="C181:C183"/>
    <mergeCell ref="A201:A202"/>
    <mergeCell ref="B201:B202"/>
    <mergeCell ref="C201:C202"/>
    <mergeCell ref="A203:A206"/>
    <mergeCell ref="B203:B206"/>
    <mergeCell ref="C203:C206"/>
    <mergeCell ref="A193:A195"/>
    <mergeCell ref="B193:B195"/>
    <mergeCell ref="C193:C195"/>
    <mergeCell ref="A196:A199"/>
    <mergeCell ref="B196:B199"/>
    <mergeCell ref="C196:C199"/>
    <mergeCell ref="D201:D202"/>
    <mergeCell ref="E201:E202"/>
    <mergeCell ref="I212:M212"/>
    <mergeCell ref="B213:E213"/>
    <mergeCell ref="A214:A215"/>
    <mergeCell ref="B214:B215"/>
    <mergeCell ref="C214:C215"/>
    <mergeCell ref="A207:A208"/>
    <mergeCell ref="B207:E208"/>
    <mergeCell ref="A209:A211"/>
    <mergeCell ref="B209:B211"/>
    <mergeCell ref="C209:C211"/>
    <mergeCell ref="F207:F208"/>
    <mergeCell ref="G207:G208"/>
    <mergeCell ref="H207:H208"/>
    <mergeCell ref="I210:I211"/>
    <mergeCell ref="J210:J211"/>
    <mergeCell ref="K210:K211"/>
    <mergeCell ref="L210:L211"/>
    <mergeCell ref="M210:M211"/>
    <mergeCell ref="D214:D215"/>
    <mergeCell ref="E214:E215"/>
    <mergeCell ref="F214:F215"/>
    <mergeCell ref="G214:G215"/>
    <mergeCell ref="H214:H215"/>
    <mergeCell ref="A241:A245"/>
    <mergeCell ref="B241:B245"/>
    <mergeCell ref="C241:C245"/>
    <mergeCell ref="A246:A248"/>
    <mergeCell ref="B246:B248"/>
    <mergeCell ref="C246:C248"/>
    <mergeCell ref="A216:A237"/>
    <mergeCell ref="B216:B237"/>
    <mergeCell ref="C216:C237"/>
    <mergeCell ref="A238:A239"/>
    <mergeCell ref="B238:B239"/>
    <mergeCell ref="C238:C239"/>
    <mergeCell ref="A257:A264"/>
    <mergeCell ref="B257:E264"/>
    <mergeCell ref="A265:A268"/>
    <mergeCell ref="B265:B268"/>
    <mergeCell ref="C265:C268"/>
    <mergeCell ref="A249:A250"/>
    <mergeCell ref="B249:B250"/>
    <mergeCell ref="C249:C250"/>
    <mergeCell ref="A251:A253"/>
    <mergeCell ref="B251:B253"/>
    <mergeCell ref="C251:C253"/>
    <mergeCell ref="D251:D253"/>
    <mergeCell ref="E251:E253"/>
    <mergeCell ref="D246:D248"/>
    <mergeCell ref="E246:E248"/>
    <mergeCell ref="A275:A278"/>
    <mergeCell ref="B275:B278"/>
    <mergeCell ref="C275:C278"/>
    <mergeCell ref="A280:A285"/>
    <mergeCell ref="B280:B285"/>
    <mergeCell ref="C280:C285"/>
    <mergeCell ref="A269:A271"/>
    <mergeCell ref="B269:B271"/>
    <mergeCell ref="C269:C271"/>
    <mergeCell ref="A272:A274"/>
    <mergeCell ref="B272:B274"/>
    <mergeCell ref="C272:C274"/>
    <mergeCell ref="A302:A303"/>
    <mergeCell ref="B302:E303"/>
    <mergeCell ref="A305:A308"/>
    <mergeCell ref="B305:B308"/>
    <mergeCell ref="C305:C308"/>
    <mergeCell ref="A286:A288"/>
    <mergeCell ref="B286:B288"/>
    <mergeCell ref="C286:C288"/>
    <mergeCell ref="A290:A300"/>
    <mergeCell ref="B290:B300"/>
    <mergeCell ref="C290:C300"/>
    <mergeCell ref="D305:D308"/>
    <mergeCell ref="E305:E308"/>
    <mergeCell ref="D282:D285"/>
    <mergeCell ref="E282:E285"/>
    <mergeCell ref="A315:A317"/>
    <mergeCell ref="B315:B317"/>
    <mergeCell ref="C315:C317"/>
    <mergeCell ref="C319:E319"/>
    <mergeCell ref="I319:M319"/>
    <mergeCell ref="A309:A311"/>
    <mergeCell ref="B309:B311"/>
    <mergeCell ref="C309:C311"/>
    <mergeCell ref="A312:A314"/>
    <mergeCell ref="B312:B314"/>
    <mergeCell ref="C312:C314"/>
    <mergeCell ref="A327:A328"/>
    <mergeCell ref="B327:B328"/>
    <mergeCell ref="C327:C328"/>
    <mergeCell ref="A332:A336"/>
    <mergeCell ref="B332:B336"/>
    <mergeCell ref="C332:C336"/>
    <mergeCell ref="A320:A322"/>
    <mergeCell ref="B320:E322"/>
    <mergeCell ref="A324:A326"/>
    <mergeCell ref="B324:B326"/>
    <mergeCell ref="C324:C326"/>
    <mergeCell ref="D324:D326"/>
    <mergeCell ref="E324:E326"/>
    <mergeCell ref="E327:E328"/>
    <mergeCell ref="F327:F328"/>
    <mergeCell ref="G327:G328"/>
    <mergeCell ref="H327:H328"/>
    <mergeCell ref="D332:D336"/>
    <mergeCell ref="E332:E336"/>
    <mergeCell ref="F332:F336"/>
    <mergeCell ref="G332:G336"/>
    <mergeCell ref="A350:A353"/>
    <mergeCell ref="B350:B353"/>
    <mergeCell ref="C350:C353"/>
    <mergeCell ref="A355:A357"/>
    <mergeCell ref="B355:E357"/>
    <mergeCell ref="A337:A339"/>
    <mergeCell ref="B337:B339"/>
    <mergeCell ref="C337:C339"/>
    <mergeCell ref="A340:A349"/>
    <mergeCell ref="B340:B349"/>
    <mergeCell ref="C340:C349"/>
    <mergeCell ref="D337:D339"/>
    <mergeCell ref="E337:E339"/>
    <mergeCell ref="A374:A379"/>
    <mergeCell ref="B374:B379"/>
    <mergeCell ref="C374:C379"/>
    <mergeCell ref="A381:A384"/>
    <mergeCell ref="B381:E384"/>
    <mergeCell ref="A358:A362"/>
    <mergeCell ref="B358:B362"/>
    <mergeCell ref="C358:C362"/>
    <mergeCell ref="A365:A373"/>
    <mergeCell ref="B365:B373"/>
    <mergeCell ref="C365:C373"/>
    <mergeCell ref="D374:D379"/>
    <mergeCell ref="E374:E379"/>
    <mergeCell ref="I395:M395"/>
    <mergeCell ref="B396:E396"/>
    <mergeCell ref="A397:A405"/>
    <mergeCell ref="B397:B405"/>
    <mergeCell ref="C397:C405"/>
    <mergeCell ref="A385:A387"/>
    <mergeCell ref="B385:B387"/>
    <mergeCell ref="C385:C387"/>
    <mergeCell ref="A388:A394"/>
    <mergeCell ref="B388:B394"/>
    <mergeCell ref="C388:C394"/>
    <mergeCell ref="D403:D405"/>
    <mergeCell ref="E403:E405"/>
    <mergeCell ref="F403:F405"/>
    <mergeCell ref="G403:G405"/>
    <mergeCell ref="H403:H405"/>
    <mergeCell ref="A416:A419"/>
    <mergeCell ref="B416:B419"/>
    <mergeCell ref="C416:C419"/>
    <mergeCell ref="D418:D419"/>
    <mergeCell ref="E418:E419"/>
    <mergeCell ref="F418:F419"/>
    <mergeCell ref="G418:G419"/>
    <mergeCell ref="H418:H419"/>
    <mergeCell ref="G388:G394"/>
    <mergeCell ref="H388:H394"/>
    <mergeCell ref="C395:E395"/>
    <mergeCell ref="A420:A422"/>
    <mergeCell ref="B420:B422"/>
    <mergeCell ref="C420:C422"/>
    <mergeCell ref="A406:A409"/>
    <mergeCell ref="B406:B409"/>
    <mergeCell ref="C406:C409"/>
    <mergeCell ref="A410:A415"/>
    <mergeCell ref="B410:B415"/>
    <mergeCell ref="C410:C415"/>
    <mergeCell ref="A441:A442"/>
    <mergeCell ref="B441:B442"/>
    <mergeCell ref="C441:C442"/>
    <mergeCell ref="A443:A444"/>
    <mergeCell ref="B443:B444"/>
    <mergeCell ref="C443:C444"/>
    <mergeCell ref="A423:A434"/>
    <mergeCell ref="B423:B434"/>
    <mergeCell ref="C423:C434"/>
    <mergeCell ref="A435:A440"/>
    <mergeCell ref="B435:B440"/>
    <mergeCell ref="C435:C440"/>
    <mergeCell ref="A453:A455"/>
    <mergeCell ref="B453:E455"/>
    <mergeCell ref="A456:A458"/>
    <mergeCell ref="B456:B458"/>
    <mergeCell ref="C456:C458"/>
    <mergeCell ref="A446:A448"/>
    <mergeCell ref="B446:B448"/>
    <mergeCell ref="C446:C448"/>
    <mergeCell ref="A449:A452"/>
    <mergeCell ref="B449:B452"/>
    <mergeCell ref="C449:C452"/>
    <mergeCell ref="B464:E464"/>
    <mergeCell ref="A465:A468"/>
    <mergeCell ref="B465:B468"/>
    <mergeCell ref="C465:C468"/>
    <mergeCell ref="A469:A470"/>
    <mergeCell ref="B469:B470"/>
    <mergeCell ref="C469:C470"/>
    <mergeCell ref="A459:A460"/>
    <mergeCell ref="B459:B460"/>
    <mergeCell ref="C459:C460"/>
    <mergeCell ref="A461:A463"/>
    <mergeCell ref="B461:B463"/>
    <mergeCell ref="C461:C463"/>
    <mergeCell ref="D469:D470"/>
    <mergeCell ref="E469:E470"/>
    <mergeCell ref="I479:M479"/>
    <mergeCell ref="A480:A481"/>
    <mergeCell ref="B480:E481"/>
    <mergeCell ref="A482:A486"/>
    <mergeCell ref="B482:B486"/>
    <mergeCell ref="C482:C486"/>
    <mergeCell ref="A471:A472"/>
    <mergeCell ref="B471:B472"/>
    <mergeCell ref="C471:C472"/>
    <mergeCell ref="A475:A477"/>
    <mergeCell ref="B475:B477"/>
    <mergeCell ref="C475:C477"/>
    <mergeCell ref="D471:D472"/>
    <mergeCell ref="E471:E472"/>
    <mergeCell ref="J475:J477"/>
    <mergeCell ref="K475:K477"/>
    <mergeCell ref="L475:L477"/>
    <mergeCell ref="M475:M477"/>
    <mergeCell ref="H480:H481"/>
    <mergeCell ref="C479:E479"/>
    <mergeCell ref="A500:A505"/>
    <mergeCell ref="B500:B505"/>
    <mergeCell ref="C500:C505"/>
    <mergeCell ref="A506:A507"/>
    <mergeCell ref="B506:B507"/>
    <mergeCell ref="C506:C507"/>
    <mergeCell ref="A487:A490"/>
    <mergeCell ref="B487:B490"/>
    <mergeCell ref="C487:C490"/>
    <mergeCell ref="A491:A499"/>
    <mergeCell ref="B491:B499"/>
    <mergeCell ref="C491:C499"/>
    <mergeCell ref="I528:M528"/>
    <mergeCell ref="A516:A518"/>
    <mergeCell ref="B516:E518"/>
    <mergeCell ref="A519:A522"/>
    <mergeCell ref="B519:B522"/>
    <mergeCell ref="C519:C522"/>
    <mergeCell ref="A508:A510"/>
    <mergeCell ref="B508:B510"/>
    <mergeCell ref="C508:C510"/>
    <mergeCell ref="A512:A514"/>
    <mergeCell ref="B512:B514"/>
    <mergeCell ref="C512:C514"/>
    <mergeCell ref="D508:D510"/>
    <mergeCell ref="E508:E510"/>
    <mergeCell ref="F508:F510"/>
    <mergeCell ref="G508:G510"/>
    <mergeCell ref="H508:H510"/>
    <mergeCell ref="D512:D514"/>
    <mergeCell ref="E512:E514"/>
    <mergeCell ref="F512:F514"/>
    <mergeCell ref="A529:A531"/>
    <mergeCell ref="B529:E531"/>
    <mergeCell ref="A532:A538"/>
    <mergeCell ref="B532:B538"/>
    <mergeCell ref="C532:C538"/>
    <mergeCell ref="A525:A527"/>
    <mergeCell ref="B525:B527"/>
    <mergeCell ref="C525:C527"/>
    <mergeCell ref="C528:E528"/>
    <mergeCell ref="A550:A557"/>
    <mergeCell ref="B550:B557"/>
    <mergeCell ref="C550:C557"/>
    <mergeCell ref="A558:A559"/>
    <mergeCell ref="B558:B559"/>
    <mergeCell ref="C558:C559"/>
    <mergeCell ref="A540:A543"/>
    <mergeCell ref="B540:B543"/>
    <mergeCell ref="C540:C543"/>
    <mergeCell ref="A544:A549"/>
    <mergeCell ref="B544:B549"/>
    <mergeCell ref="C544:C549"/>
    <mergeCell ref="D544:D549"/>
    <mergeCell ref="E544:E549"/>
    <mergeCell ref="A565:A567"/>
    <mergeCell ref="B565:B567"/>
    <mergeCell ref="C565:C567"/>
    <mergeCell ref="A569:A571"/>
    <mergeCell ref="B569:B571"/>
    <mergeCell ref="C569:C571"/>
    <mergeCell ref="A560:A562"/>
    <mergeCell ref="B560:B562"/>
    <mergeCell ref="C560:C562"/>
    <mergeCell ref="A563:A564"/>
    <mergeCell ref="B563:B564"/>
    <mergeCell ref="C563:C564"/>
    <mergeCell ref="A586:A589"/>
    <mergeCell ref="B586:B589"/>
    <mergeCell ref="C586:C589"/>
    <mergeCell ref="A590:A592"/>
    <mergeCell ref="B590:B592"/>
    <mergeCell ref="C590:C592"/>
    <mergeCell ref="A573:A578"/>
    <mergeCell ref="B573:E578"/>
    <mergeCell ref="A579:A585"/>
    <mergeCell ref="B579:B585"/>
    <mergeCell ref="C579:C585"/>
    <mergeCell ref="D579:D585"/>
    <mergeCell ref="E579:E585"/>
    <mergeCell ref="D563:D564"/>
    <mergeCell ref="E563:E564"/>
    <mergeCell ref="A601:A604"/>
    <mergeCell ref="B601:B604"/>
    <mergeCell ref="C601:C604"/>
    <mergeCell ref="A605:A608"/>
    <mergeCell ref="B605:B608"/>
    <mergeCell ref="C605:C608"/>
    <mergeCell ref="A593:A595"/>
    <mergeCell ref="B593:B595"/>
    <mergeCell ref="C593:C595"/>
    <mergeCell ref="A597:A598"/>
    <mergeCell ref="B597:B598"/>
    <mergeCell ref="C597:C598"/>
    <mergeCell ref="A618:A620"/>
    <mergeCell ref="B618:B620"/>
    <mergeCell ref="C618:C620"/>
    <mergeCell ref="A621:A623"/>
    <mergeCell ref="B621:B623"/>
    <mergeCell ref="C621:C623"/>
    <mergeCell ref="A609:A611"/>
    <mergeCell ref="B609:B611"/>
    <mergeCell ref="C609:C611"/>
    <mergeCell ref="A612:A617"/>
    <mergeCell ref="B612:B617"/>
    <mergeCell ref="C612:C617"/>
    <mergeCell ref="A632:A634"/>
    <mergeCell ref="B632:E634"/>
    <mergeCell ref="A636:A637"/>
    <mergeCell ref="B636:B637"/>
    <mergeCell ref="C636:C637"/>
    <mergeCell ref="A624:A626"/>
    <mergeCell ref="B624:B626"/>
    <mergeCell ref="C624:C626"/>
    <mergeCell ref="A627:A629"/>
    <mergeCell ref="B627:B629"/>
    <mergeCell ref="C627:C629"/>
    <mergeCell ref="A643:A645"/>
    <mergeCell ref="B643:E645"/>
    <mergeCell ref="A646:A653"/>
    <mergeCell ref="B646:B653"/>
    <mergeCell ref="C646:C653"/>
    <mergeCell ref="A638:A639"/>
    <mergeCell ref="B638:B639"/>
    <mergeCell ref="C638:C639"/>
    <mergeCell ref="A640:A642"/>
    <mergeCell ref="B640:B642"/>
    <mergeCell ref="C640:C642"/>
    <mergeCell ref="B694:B699"/>
    <mergeCell ref="C694:C699"/>
    <mergeCell ref="A671:A677"/>
    <mergeCell ref="B671:B677"/>
    <mergeCell ref="C671:C677"/>
    <mergeCell ref="C685:E685"/>
    <mergeCell ref="A686:A688"/>
    <mergeCell ref="B686:E688"/>
    <mergeCell ref="A681:A682"/>
    <mergeCell ref="B681:B682"/>
    <mergeCell ref="C681:C682"/>
    <mergeCell ref="I674:I677"/>
    <mergeCell ref="J674:J677"/>
    <mergeCell ref="K674:K677"/>
    <mergeCell ref="I689:I693"/>
    <mergeCell ref="J689:J693"/>
    <mergeCell ref="K689:K693"/>
    <mergeCell ref="D681:D682"/>
    <mergeCell ref="E681:E682"/>
    <mergeCell ref="F681:F682"/>
    <mergeCell ref="B710:B714"/>
    <mergeCell ref="C710:C714"/>
    <mergeCell ref="A715:A716"/>
    <mergeCell ref="B715:B716"/>
    <mergeCell ref="C715:C716"/>
    <mergeCell ref="A700:A705"/>
    <mergeCell ref="B700:B705"/>
    <mergeCell ref="C700:C705"/>
    <mergeCell ref="A708:A709"/>
    <mergeCell ref="B708:B709"/>
    <mergeCell ref="C708:C709"/>
    <mergeCell ref="K1:M1"/>
    <mergeCell ref="K2:M2"/>
    <mergeCell ref="K3:M3"/>
    <mergeCell ref="A710:A714"/>
    <mergeCell ref="A660:A666"/>
    <mergeCell ref="B660:B666"/>
    <mergeCell ref="C660:C666"/>
    <mergeCell ref="A667:A669"/>
    <mergeCell ref="B667:B669"/>
    <mergeCell ref="C667:C669"/>
    <mergeCell ref="A654:A655"/>
    <mergeCell ref="B654:B655"/>
    <mergeCell ref="C654:C655"/>
    <mergeCell ref="A657:A659"/>
    <mergeCell ref="B657:B659"/>
    <mergeCell ref="C657:C659"/>
    <mergeCell ref="I685:M685"/>
    <mergeCell ref="A689:A693"/>
    <mergeCell ref="B689:B693"/>
    <mergeCell ref="C689:C693"/>
    <mergeCell ref="A694:A699"/>
    <mergeCell ref="A737:A740"/>
    <mergeCell ref="B737:B740"/>
    <mergeCell ref="C737:C740"/>
    <mergeCell ref="A729:A731"/>
    <mergeCell ref="B729:B731"/>
    <mergeCell ref="C729:C731"/>
    <mergeCell ref="A732:A735"/>
    <mergeCell ref="B732:B735"/>
    <mergeCell ref="C732:C735"/>
    <mergeCell ref="A722:A724"/>
    <mergeCell ref="B722:B724"/>
    <mergeCell ref="C722:C724"/>
    <mergeCell ref="A725:A728"/>
    <mergeCell ref="B725:B728"/>
    <mergeCell ref="C725:C728"/>
    <mergeCell ref="A717:A718"/>
    <mergeCell ref="B717:E718"/>
    <mergeCell ref="A719:A721"/>
    <mergeCell ref="B719:B721"/>
    <mergeCell ref="C719:C721"/>
    <mergeCell ref="D725:D728"/>
    <mergeCell ref="E725:E728"/>
  </mergeCells>
  <pageMargins left="0.4" right="0.4" top="0.4" bottom="0.4" header="0.4" footer="0.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1_PRIEDAS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Jozonienė</dc:creator>
  <cp:lastModifiedBy>Vaida Kalasevičienė</cp:lastModifiedBy>
  <dcterms:created xsi:type="dcterms:W3CDTF">2024-12-06T06:56:26Z</dcterms:created>
  <dcterms:modified xsi:type="dcterms:W3CDTF">2024-12-09T11:33:54Z</dcterms:modified>
</cp:coreProperties>
</file>